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Для обмена документами\uprbud\svod\2026-2028\_ПРОЕКТ ЗАКОНА 2026-2028 (1 чтение)\Одновременно с законом\11. оценка ожидаемого исполнения\"/>
    </mc:Choice>
  </mc:AlternateContent>
  <bookViews>
    <workbookView xWindow="14355" yWindow="-315" windowWidth="13680" windowHeight="12165"/>
  </bookViews>
  <sheets>
    <sheet name="ожид.оценка 2025" sheetId="1" r:id="rId1"/>
    <sheet name="по отчету отправка" sheetId="2" state="hidden" r:id="rId2"/>
    <sheet name="по отчету руб" sheetId="3" state="hidden" r:id="rId3"/>
    <sheet name="по отчету (3)" sheetId="4" state="hidden" r:id="rId4"/>
    <sheet name="план по отчету" sheetId="5" state="hidden" r:id="rId5"/>
    <sheet name="на отправку" sheetId="6" state="hidden" r:id="rId6"/>
    <sheet name="по отчету" sheetId="7" state="hidden" r:id="rId7"/>
  </sheets>
  <definedNames>
    <definedName name="Z_0E91F95C_B82B_4A7A_9432_6E8B0967BE54_.wvu.PrintArea" localSheetId="5" hidden="1">'на отправку'!$A$1:$C$78</definedName>
    <definedName name="Z_0E91F95C_B82B_4A7A_9432_6E8B0967BE54_.wvu.PrintArea" localSheetId="0" hidden="1">'ожид.оценка 2025'!$A$1:$B$74</definedName>
    <definedName name="Z_0E91F95C_B82B_4A7A_9432_6E8B0967BE54_.wvu.PrintArea" localSheetId="4" hidden="1">'план по отчету'!$A$1:$D$78</definedName>
    <definedName name="Z_0E91F95C_B82B_4A7A_9432_6E8B0967BE54_.wvu.PrintArea" localSheetId="6" hidden="1">'по отчету'!$A$1:$C$78</definedName>
    <definedName name="Z_0E91F95C_B82B_4A7A_9432_6E8B0967BE54_.wvu.PrintArea" localSheetId="3" hidden="1">'по отчету (3)'!$A$1:$C$74</definedName>
    <definedName name="Z_0E91F95C_B82B_4A7A_9432_6E8B0967BE54_.wvu.PrintArea" localSheetId="1" hidden="1">'по отчету отправка'!$A$1:$C$75</definedName>
    <definedName name="Z_0E91F95C_B82B_4A7A_9432_6E8B0967BE54_.wvu.PrintArea" localSheetId="2" hidden="1">'по отчету руб'!$A$1:$C$74</definedName>
    <definedName name="Z_0E91F95C_B82B_4A7A_9432_6E8B0967BE54_.wvu.PrintTitles" localSheetId="5" hidden="1">'на отправку'!$3:$3</definedName>
    <definedName name="Z_0E91F95C_B82B_4A7A_9432_6E8B0967BE54_.wvu.PrintTitles" localSheetId="0" hidden="1">'ожид.оценка 2025'!$3:$3</definedName>
    <definedName name="Z_0E91F95C_B82B_4A7A_9432_6E8B0967BE54_.wvu.PrintTitles" localSheetId="4" hidden="1">'план по отчету'!$3:$3</definedName>
    <definedName name="Z_0E91F95C_B82B_4A7A_9432_6E8B0967BE54_.wvu.PrintTitles" localSheetId="6" hidden="1">'по отчету'!$3:$3</definedName>
    <definedName name="Z_0E91F95C_B82B_4A7A_9432_6E8B0967BE54_.wvu.PrintTitles" localSheetId="3" hidden="1">'по отчету (3)'!$3:$3</definedName>
    <definedName name="Z_0E91F95C_B82B_4A7A_9432_6E8B0967BE54_.wvu.PrintTitles" localSheetId="1" hidden="1">'по отчету отправка'!$3:$3</definedName>
    <definedName name="Z_0E91F95C_B82B_4A7A_9432_6E8B0967BE54_.wvu.PrintTitles" localSheetId="2" hidden="1">'по отчету руб'!$3:$3</definedName>
    <definedName name="Z_0E91F95C_B82B_4A7A_9432_6E8B0967BE54_.wvu.Rows" localSheetId="5" hidden="1"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definedName>
    <definedName name="Z_0E91F95C_B82B_4A7A_9432_6E8B0967BE54_.wvu.Rows" localSheetId="4" hidden="1">'план по отчету'!$13:$13,'план по отчету'!$16:$16,'план по отчету'!$44:$45,'план по отчету'!$48:$48,'план по отчету'!$75:$75</definedName>
    <definedName name="Z_0E91F95C_B82B_4A7A_9432_6E8B0967BE54_.wvu.Rows" localSheetId="6" hidden="1">'по отчету'!$13:$13,'по отчету'!$16:$16,'по отчету'!$44:$45,'по отчету'!$48:$48,'по отчету'!$75:$75</definedName>
    <definedName name="Z_0E91F95C_B82B_4A7A_9432_6E8B0967BE54_.wvu.Rows" localSheetId="3" hidden="1">'по отчету (3)'!$13:$13,'по отчету (3)'!$16:$16,'по отчету (3)'!$40:$41,'по отчету (3)'!$44:$44,'по отчету (3)'!$71:$71</definedName>
    <definedName name="Z_0E91F95C_B82B_4A7A_9432_6E8B0967BE54_.wvu.Rows" localSheetId="1" hidden="1">'по отчету отправка'!$41:$42</definedName>
    <definedName name="Z_0E91F95C_B82B_4A7A_9432_6E8B0967BE54_.wvu.Rows" localSheetId="2" hidden="1">'по отчету руб'!$13:$13,'по отчету руб'!$16:$16,'по отчету руб'!$40:$41,'по отчету руб'!$44:$44,'по отчету руб'!$71:$71</definedName>
    <definedName name="Z_34D410AD_58B4_4435_9ED5_15CA72283006_.wvu.Cols" localSheetId="0" hidden="1">'ожид.оценка 2025'!#REF!,'ожид.оценка 2025'!#REF!</definedName>
    <definedName name="Z_34D410AD_58B4_4435_9ED5_15CA72283006_.wvu.PrintArea" localSheetId="5" hidden="1">'на отправку'!$A$1:$C$78</definedName>
    <definedName name="Z_34D410AD_58B4_4435_9ED5_15CA72283006_.wvu.PrintArea" localSheetId="0" hidden="1">'ожид.оценка 2025'!$A$1:$C$75</definedName>
    <definedName name="Z_34D410AD_58B4_4435_9ED5_15CA72283006_.wvu.PrintArea" localSheetId="4" hidden="1">'план по отчету'!$A$1:$D$78</definedName>
    <definedName name="Z_34D410AD_58B4_4435_9ED5_15CA72283006_.wvu.PrintArea" localSheetId="6" hidden="1">'по отчету'!$A$1:$C$78</definedName>
    <definedName name="Z_34D410AD_58B4_4435_9ED5_15CA72283006_.wvu.PrintArea" localSheetId="3" hidden="1">'по отчету (3)'!$A$1:$C$74</definedName>
    <definedName name="Z_34D410AD_58B4_4435_9ED5_15CA72283006_.wvu.PrintArea" localSheetId="1" hidden="1">'по отчету отправка'!$A$1:$C$75</definedName>
    <definedName name="Z_34D410AD_58B4_4435_9ED5_15CA72283006_.wvu.PrintArea" localSheetId="2" hidden="1">'по отчету руб'!$A$1:$C$74</definedName>
    <definedName name="Z_34D410AD_58B4_4435_9ED5_15CA72283006_.wvu.PrintTitles" localSheetId="5" hidden="1">'на отправку'!$3:$3</definedName>
    <definedName name="Z_34D410AD_58B4_4435_9ED5_15CA72283006_.wvu.PrintTitles" localSheetId="0" hidden="1">'ожид.оценка 2025'!$3:$3</definedName>
    <definedName name="Z_34D410AD_58B4_4435_9ED5_15CA72283006_.wvu.PrintTitles" localSheetId="4" hidden="1">'план по отчету'!$3:$3</definedName>
    <definedName name="Z_34D410AD_58B4_4435_9ED5_15CA72283006_.wvu.PrintTitles" localSheetId="6" hidden="1">'по отчету'!$3:$3</definedName>
    <definedName name="Z_34D410AD_58B4_4435_9ED5_15CA72283006_.wvu.PrintTitles" localSheetId="3" hidden="1">'по отчету (3)'!$3:$3</definedName>
    <definedName name="Z_34D410AD_58B4_4435_9ED5_15CA72283006_.wvu.PrintTitles" localSheetId="1" hidden="1">'по отчету отправка'!$3:$3</definedName>
    <definedName name="Z_34D410AD_58B4_4435_9ED5_15CA72283006_.wvu.PrintTitles" localSheetId="2" hidden="1">'по отчету руб'!$3:$3</definedName>
    <definedName name="Z_34D410AD_58B4_4435_9ED5_15CA72283006_.wvu.Rows" localSheetId="5" hidden="1"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definedName>
    <definedName name="Z_34D410AD_58B4_4435_9ED5_15CA72283006_.wvu.Rows" localSheetId="4" hidden="1">'план по отчету'!$13:$13,'план по отчету'!$16:$16,'план по отчету'!$44:$45,'план по отчету'!$48:$48,'план по отчету'!$75:$75</definedName>
    <definedName name="Z_34D410AD_58B4_4435_9ED5_15CA72283006_.wvu.Rows" localSheetId="6" hidden="1">'по отчету'!$13:$13,'по отчету'!$16:$16,'по отчету'!$44:$45,'по отчету'!$48:$48,'по отчету'!$75:$75</definedName>
    <definedName name="Z_34D410AD_58B4_4435_9ED5_15CA72283006_.wvu.Rows" localSheetId="3" hidden="1">'по отчету (3)'!$13:$13,'по отчету (3)'!$16:$16,'по отчету (3)'!$40:$41,'по отчету (3)'!$44:$44,'по отчету (3)'!$71:$71</definedName>
    <definedName name="Z_34D410AD_58B4_4435_9ED5_15CA72283006_.wvu.Rows" localSheetId="1" hidden="1">'по отчету отправка'!$41:$42</definedName>
    <definedName name="Z_34D410AD_58B4_4435_9ED5_15CA72283006_.wvu.Rows" localSheetId="2" hidden="1">'по отчету руб'!$13:$13,'по отчету руб'!$16:$16,'по отчету руб'!$40:$41,'по отчету руб'!$44:$44,'по отчету руб'!$71:$71</definedName>
    <definedName name="Z_BD55AB36_084D_4C26_BAB2_482C24A270C8_.wvu.PrintArea" localSheetId="5" hidden="1">'на отправку'!$A$1:$C$78</definedName>
    <definedName name="Z_BD55AB36_084D_4C26_BAB2_482C24A270C8_.wvu.PrintArea" localSheetId="0" hidden="1">'ожид.оценка 2025'!$A$1:$C$74</definedName>
    <definedName name="Z_BD55AB36_084D_4C26_BAB2_482C24A270C8_.wvu.PrintArea" localSheetId="4" hidden="1">'план по отчету'!$A$1:$D$78</definedName>
    <definedName name="Z_BD55AB36_084D_4C26_BAB2_482C24A270C8_.wvu.PrintArea" localSheetId="6" hidden="1">'по отчету'!$A$1:$C$78</definedName>
    <definedName name="Z_BD55AB36_084D_4C26_BAB2_482C24A270C8_.wvu.PrintArea" localSheetId="3" hidden="1">'по отчету (3)'!$A$1:$C$74</definedName>
    <definedName name="Z_BD55AB36_084D_4C26_BAB2_482C24A270C8_.wvu.PrintArea" localSheetId="1" hidden="1">'по отчету отправка'!$A$1:$C$75</definedName>
    <definedName name="Z_BD55AB36_084D_4C26_BAB2_482C24A270C8_.wvu.PrintArea" localSheetId="2" hidden="1">'по отчету руб'!$A$1:$C$74</definedName>
    <definedName name="Z_BD55AB36_084D_4C26_BAB2_482C24A270C8_.wvu.PrintTitles" localSheetId="5" hidden="1">'на отправку'!$3:$3</definedName>
    <definedName name="Z_BD55AB36_084D_4C26_BAB2_482C24A270C8_.wvu.PrintTitles" localSheetId="0" hidden="1">'ожид.оценка 2025'!$3:$3</definedName>
    <definedName name="Z_BD55AB36_084D_4C26_BAB2_482C24A270C8_.wvu.PrintTitles" localSheetId="4" hidden="1">'план по отчету'!$3:$3</definedName>
    <definedName name="Z_BD55AB36_084D_4C26_BAB2_482C24A270C8_.wvu.PrintTitles" localSheetId="6" hidden="1">'по отчету'!$3:$3</definedName>
    <definedName name="Z_BD55AB36_084D_4C26_BAB2_482C24A270C8_.wvu.PrintTitles" localSheetId="3" hidden="1">'по отчету (3)'!$3:$3</definedName>
    <definedName name="Z_BD55AB36_084D_4C26_BAB2_482C24A270C8_.wvu.PrintTitles" localSheetId="1" hidden="1">'по отчету отправка'!$3:$3</definedName>
    <definedName name="Z_BD55AB36_084D_4C26_BAB2_482C24A270C8_.wvu.PrintTitles" localSheetId="2" hidden="1">'по отчету руб'!$3:$3</definedName>
    <definedName name="Z_BD55AB36_084D_4C26_BAB2_482C24A270C8_.wvu.Rows" localSheetId="5" hidden="1"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definedName>
    <definedName name="Z_BD55AB36_084D_4C26_BAB2_482C24A270C8_.wvu.Rows" localSheetId="4" hidden="1">'план по отчету'!$13:$13,'план по отчету'!$16:$16,'план по отчету'!$44:$45,'план по отчету'!$48:$48,'план по отчету'!$75:$75</definedName>
    <definedName name="Z_BD55AB36_084D_4C26_BAB2_482C24A270C8_.wvu.Rows" localSheetId="6" hidden="1">'по отчету'!$13:$13,'по отчету'!$16:$16,'по отчету'!$44:$45,'по отчету'!$48:$48,'по отчету'!$75:$75</definedName>
    <definedName name="Z_BD55AB36_084D_4C26_BAB2_482C24A270C8_.wvu.Rows" localSheetId="3" hidden="1">'по отчету (3)'!$13:$13,'по отчету (3)'!$16:$16,'по отчету (3)'!$40:$41,'по отчету (3)'!$44:$44,'по отчету (3)'!$71:$71</definedName>
    <definedName name="Z_BD55AB36_084D_4C26_BAB2_482C24A270C8_.wvu.Rows" localSheetId="1" hidden="1">'по отчету отправка'!$41:$42</definedName>
    <definedName name="Z_BD55AB36_084D_4C26_BAB2_482C24A270C8_.wvu.Rows" localSheetId="2" hidden="1">'по отчету руб'!$13:$13,'по отчету руб'!$16:$16,'по отчету руб'!$40:$41,'по отчету руб'!$44:$44,'по отчету руб'!$71:$71</definedName>
    <definedName name="_xlnm.Print_Titles" localSheetId="5">'на отправку'!$3:$3</definedName>
    <definedName name="_xlnm.Print_Titles" localSheetId="0">'ожид.оценка 2025'!$3:$3</definedName>
    <definedName name="_xlnm.Print_Titles" localSheetId="4">'план по отчету'!$3:$3</definedName>
    <definedName name="_xlnm.Print_Titles" localSheetId="6">'по отчету'!$3:$3</definedName>
    <definedName name="_xlnm.Print_Titles" localSheetId="3">'по отчету (3)'!$3:$3</definedName>
    <definedName name="_xlnm.Print_Titles" localSheetId="1">'по отчету отправка'!$3:$3</definedName>
    <definedName name="_xlnm.Print_Titles" localSheetId="2">'по отчету руб'!$3:$3</definedName>
    <definedName name="_xlnm.Print_Area" localSheetId="5">'на отправку'!$A$1:$C$78</definedName>
    <definedName name="_xlnm.Print_Area" localSheetId="0">'ожид.оценка 2025'!$A$1:$C$74</definedName>
    <definedName name="_xlnm.Print_Area" localSheetId="4">'план по отчету'!$A$1:$D$78</definedName>
    <definedName name="_xlnm.Print_Area" localSheetId="6">'по отчету'!$A$1:$C$78</definedName>
    <definedName name="_xlnm.Print_Area" localSheetId="3">'по отчету (3)'!$A$1:$C$74</definedName>
    <definedName name="_xlnm.Print_Area" localSheetId="1">'по отчету отправка'!$A$1:$C$75</definedName>
    <definedName name="_xlnm.Print_Area" localSheetId="2">'по отчету руб'!$A$1:$C$74</definedName>
  </definedNames>
  <calcPr calcId="162913" fullPrecision="0"/>
  <customWorkbookViews>
    <customWorkbookView name="Людмила Степанова - Личное представление" guid="{BD55AB36-084D-4C26-BAB2-482C24A270C8}" mergeInterval="0" personalView="1" maximized="1" xWindow="-8" yWindow="-8" windowWidth="1936" windowHeight="1056" activeSheetId="1"/>
    <customWorkbookView name="Екатерина В. Эриксон - Личное представление" guid="{34D410AD-58B4-4435-9ED5-15CA72283006}" mergeInterval="0" personalView="1" xWindow="43" yWindow="12" windowWidth="913" windowHeight="999" activeSheetId="1"/>
    <customWorkbookView name="Мария С. Юнгина - Личное представление" guid="{0E91F95C-B82B-4A7A-9432-6E8B0967BE54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C40" i="2" l="1"/>
  <c r="B63" i="2"/>
  <c r="C63" i="2"/>
  <c r="B69" i="2"/>
  <c r="C69" i="2"/>
  <c r="C65" i="2" s="1"/>
  <c r="C32" i="2" l="1"/>
  <c r="C31" i="2" s="1"/>
  <c r="C19" i="2"/>
  <c r="C15" i="2"/>
  <c r="C13" i="2"/>
  <c r="C6" i="2"/>
  <c r="C5" i="2" l="1"/>
  <c r="C46" i="2" s="1"/>
  <c r="C64" i="2" l="1"/>
  <c r="B32" i="2"/>
  <c r="B31" i="2" s="1"/>
  <c r="B5" i="2" l="1"/>
  <c r="B46" i="2" s="1"/>
  <c r="B64" i="2" s="1"/>
  <c r="B75" i="2" s="1"/>
  <c r="B65" i="2" s="1"/>
  <c r="B43" i="3"/>
  <c r="C14" i="3"/>
  <c r="B14" i="3"/>
  <c r="C64" i="3"/>
  <c r="B64" i="3"/>
  <c r="C62" i="3"/>
  <c r="B62" i="3"/>
  <c r="C32" i="3"/>
  <c r="C31" i="3" s="1"/>
  <c r="C30" i="3" s="1"/>
  <c r="B32" i="3"/>
  <c r="B31" i="3" s="1"/>
  <c r="B30" i="3" s="1"/>
  <c r="C21" i="3"/>
  <c r="B21" i="3"/>
  <c r="C17" i="3"/>
  <c r="B17" i="3"/>
  <c r="C16" i="3"/>
  <c r="B16" i="3"/>
  <c r="C13" i="3"/>
  <c r="B13" i="3"/>
  <c r="C10" i="3"/>
  <c r="C9" i="3" s="1"/>
  <c r="B10" i="3"/>
  <c r="B9" i="3" s="1"/>
  <c r="C6" i="3"/>
  <c r="B6" i="3"/>
  <c r="B62" i="4"/>
  <c r="C14" i="4"/>
  <c r="C68" i="4"/>
  <c r="C64" i="4" s="1"/>
  <c r="B29" i="4"/>
  <c r="B64" i="4"/>
  <c r="B27" i="4"/>
  <c r="C21" i="4"/>
  <c r="B21" i="4"/>
  <c r="C17" i="4"/>
  <c r="B17" i="4"/>
  <c r="C16" i="4"/>
  <c r="B16" i="4"/>
  <c r="C13" i="4"/>
  <c r="B13" i="4"/>
  <c r="C10" i="4"/>
  <c r="C6" i="4"/>
  <c r="B29" i="5"/>
  <c r="C72" i="5"/>
  <c r="C68" i="5" s="1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46" i="5"/>
  <c r="C45" i="5"/>
  <c r="C44" i="5"/>
  <c r="C43" i="5"/>
  <c r="C42" i="5"/>
  <c r="C41" i="5"/>
  <c r="C40" i="5"/>
  <c r="C39" i="5"/>
  <c r="C38" i="5"/>
  <c r="C37" i="5"/>
  <c r="C36" i="5"/>
  <c r="C32" i="5"/>
  <c r="C31" i="5"/>
  <c r="C30" i="5"/>
  <c r="C29" i="5"/>
  <c r="C28" i="5"/>
  <c r="C27" i="5"/>
  <c r="C26" i="5"/>
  <c r="C25" i="5"/>
  <c r="C24" i="5"/>
  <c r="C23" i="5"/>
  <c r="C22" i="5"/>
  <c r="C20" i="5"/>
  <c r="C19" i="5"/>
  <c r="C18" i="5"/>
  <c r="C16" i="5"/>
  <c r="C15" i="5"/>
  <c r="C13" i="5"/>
  <c r="C12" i="5"/>
  <c r="C11" i="5"/>
  <c r="C8" i="5"/>
  <c r="C7" i="5"/>
  <c r="C5" i="3" l="1"/>
  <c r="C63" i="3" s="1"/>
  <c r="C75" i="3" s="1"/>
  <c r="B5" i="3"/>
  <c r="B63" i="3" s="1"/>
  <c r="B75" i="3" s="1"/>
  <c r="C10" i="5"/>
  <c r="C9" i="5" s="1"/>
  <c r="C35" i="5"/>
  <c r="C34" i="5" s="1"/>
  <c r="C6" i="5"/>
  <c r="C21" i="5"/>
  <c r="C17" i="5"/>
  <c r="C66" i="5"/>
  <c r="B6" i="4"/>
  <c r="C32" i="4"/>
  <c r="C31" i="4" s="1"/>
  <c r="B32" i="4"/>
  <c r="B31" i="4" s="1"/>
  <c r="B30" i="4" s="1"/>
  <c r="B10" i="4"/>
  <c r="B9" i="4" s="1"/>
  <c r="C62" i="4"/>
  <c r="C9" i="4"/>
  <c r="C45" i="3" l="1"/>
  <c r="B45" i="3"/>
  <c r="C5" i="4"/>
  <c r="C30" i="4"/>
  <c r="E48" i="5"/>
  <c r="E50" i="5"/>
  <c r="D72" i="5"/>
  <c r="D68" i="5" s="1"/>
  <c r="B68" i="5"/>
  <c r="E11" i="5"/>
  <c r="D52" i="5"/>
  <c r="D6" i="5"/>
  <c r="D17" i="5"/>
  <c r="D21" i="5"/>
  <c r="B52" i="5"/>
  <c r="B53" i="5"/>
  <c r="D53" i="5"/>
  <c r="B54" i="5"/>
  <c r="D54" i="5"/>
  <c r="B55" i="5"/>
  <c r="D55" i="5"/>
  <c r="B56" i="5"/>
  <c r="D56" i="5"/>
  <c r="B57" i="5"/>
  <c r="D57" i="5"/>
  <c r="B58" i="5"/>
  <c r="D58" i="5"/>
  <c r="B59" i="5"/>
  <c r="D59" i="5"/>
  <c r="B60" i="5"/>
  <c r="D60" i="5"/>
  <c r="B61" i="5"/>
  <c r="D61" i="5"/>
  <c r="D62" i="5"/>
  <c r="E62" i="5" s="1"/>
  <c r="B63" i="5"/>
  <c r="D63" i="5"/>
  <c r="B64" i="5"/>
  <c r="D64" i="5"/>
  <c r="B65" i="5"/>
  <c r="D65" i="5"/>
  <c r="B51" i="5"/>
  <c r="E51" i="5" s="1"/>
  <c r="B37" i="5"/>
  <c r="D37" i="5"/>
  <c r="B38" i="5"/>
  <c r="D38" i="5"/>
  <c r="B39" i="5"/>
  <c r="D39" i="5"/>
  <c r="D40" i="5"/>
  <c r="E40" i="5" s="1"/>
  <c r="B41" i="5"/>
  <c r="D41" i="5"/>
  <c r="B42" i="5"/>
  <c r="D42" i="5"/>
  <c r="B43" i="5"/>
  <c r="D43" i="5"/>
  <c r="B44" i="5"/>
  <c r="D44" i="5"/>
  <c r="B45" i="5"/>
  <c r="D45" i="5"/>
  <c r="B46" i="5"/>
  <c r="D46" i="5"/>
  <c r="D47" i="5"/>
  <c r="D36" i="5"/>
  <c r="B36" i="5"/>
  <c r="B7" i="5"/>
  <c r="E7" i="5" s="1"/>
  <c r="B8" i="5"/>
  <c r="E8" i="5" s="1"/>
  <c r="B12" i="5"/>
  <c r="B10" i="5" s="1"/>
  <c r="B13" i="5"/>
  <c r="D13" i="5"/>
  <c r="B15" i="5"/>
  <c r="E15" i="5" s="1"/>
  <c r="B16" i="5"/>
  <c r="D16" i="5"/>
  <c r="B18" i="5"/>
  <c r="B19" i="5"/>
  <c r="E19" i="5" s="1"/>
  <c r="B20" i="5"/>
  <c r="E20" i="5" s="1"/>
  <c r="B22" i="5"/>
  <c r="B23" i="5"/>
  <c r="E23" i="5" s="1"/>
  <c r="B24" i="5"/>
  <c r="E24" i="5" s="1"/>
  <c r="B25" i="5"/>
  <c r="D25" i="5"/>
  <c r="B26" i="5"/>
  <c r="E26" i="5" s="1"/>
  <c r="B27" i="5"/>
  <c r="E27" i="5" s="1"/>
  <c r="D28" i="5"/>
  <c r="E28" i="5" s="1"/>
  <c r="E29" i="5"/>
  <c r="B30" i="5"/>
  <c r="D30" i="5"/>
  <c r="B31" i="5"/>
  <c r="D31" i="5"/>
  <c r="B32" i="5"/>
  <c r="D32" i="5"/>
  <c r="G66" i="5"/>
  <c r="G47" i="5"/>
  <c r="G35" i="5"/>
  <c r="G34" i="5" s="1"/>
  <c r="G21" i="5"/>
  <c r="G17" i="5"/>
  <c r="G14" i="5"/>
  <c r="G10" i="5"/>
  <c r="G9" i="5" s="1"/>
  <c r="G6" i="5"/>
  <c r="B66" i="7"/>
  <c r="B47" i="7"/>
  <c r="C47" i="5" s="1"/>
  <c r="C33" i="5" s="1"/>
  <c r="B35" i="7"/>
  <c r="B34" i="7" s="1"/>
  <c r="B21" i="7"/>
  <c r="B17" i="7"/>
  <c r="B14" i="7"/>
  <c r="B10" i="7"/>
  <c r="B9" i="7" s="1"/>
  <c r="B6" i="7"/>
  <c r="C66" i="7"/>
  <c r="C35" i="7"/>
  <c r="C34" i="7" s="1"/>
  <c r="C33" i="7" s="1"/>
  <c r="C21" i="7"/>
  <c r="C17" i="7"/>
  <c r="C14" i="7"/>
  <c r="D14" i="5" s="1"/>
  <c r="C10" i="7"/>
  <c r="C9" i="7" s="1"/>
  <c r="C6" i="7"/>
  <c r="F66" i="7"/>
  <c r="F47" i="7"/>
  <c r="F35" i="7"/>
  <c r="F34" i="7" s="1"/>
  <c r="F21" i="7"/>
  <c r="F17" i="7"/>
  <c r="F14" i="7"/>
  <c r="F10" i="7"/>
  <c r="F9" i="7" s="1"/>
  <c r="F6" i="7"/>
  <c r="C66" i="6"/>
  <c r="D5" i="6"/>
  <c r="C33" i="6"/>
  <c r="D33" i="6" s="1"/>
  <c r="C68" i="7"/>
  <c r="B68" i="7"/>
  <c r="D50" i="7"/>
  <c r="D48" i="7"/>
  <c r="D46" i="7"/>
  <c r="D45" i="7"/>
  <c r="D44" i="7"/>
  <c r="D43" i="7"/>
  <c r="D42" i="7"/>
  <c r="D41" i="7"/>
  <c r="D40" i="7"/>
  <c r="D39" i="7"/>
  <c r="D38" i="7"/>
  <c r="D37" i="7"/>
  <c r="D36" i="7"/>
  <c r="D32" i="7"/>
  <c r="D31" i="7"/>
  <c r="D30" i="7"/>
  <c r="D29" i="7"/>
  <c r="D28" i="7"/>
  <c r="D27" i="7"/>
  <c r="D26" i="7"/>
  <c r="D24" i="7"/>
  <c r="D23" i="7"/>
  <c r="D22" i="7"/>
  <c r="D20" i="7"/>
  <c r="D19" i="7"/>
  <c r="D18" i="7"/>
  <c r="D16" i="7"/>
  <c r="D15" i="7"/>
  <c r="D13" i="7"/>
  <c r="D12" i="7"/>
  <c r="D11" i="7"/>
  <c r="D8" i="7"/>
  <c r="D7" i="7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6" i="6"/>
  <c r="D27" i="6"/>
  <c r="D28" i="6"/>
  <c r="D29" i="6"/>
  <c r="D30" i="6"/>
  <c r="D31" i="6"/>
  <c r="D32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C72" i="6"/>
  <c r="C68" i="6" s="1"/>
  <c r="B68" i="6"/>
  <c r="B66" i="6"/>
  <c r="B5" i="7" l="1"/>
  <c r="G33" i="5"/>
  <c r="D66" i="6"/>
  <c r="F33" i="7"/>
  <c r="D6" i="7"/>
  <c r="F5" i="7"/>
  <c r="E38" i="5"/>
  <c r="E59" i="5"/>
  <c r="B33" i="7"/>
  <c r="D35" i="7"/>
  <c r="E61" i="5"/>
  <c r="E57" i="5"/>
  <c r="E46" i="5"/>
  <c r="E63" i="5"/>
  <c r="E44" i="5"/>
  <c r="D47" i="7"/>
  <c r="B35" i="5"/>
  <c r="B34" i="5" s="1"/>
  <c r="E42" i="5"/>
  <c r="E65" i="5"/>
  <c r="D35" i="5"/>
  <c r="D34" i="5" s="1"/>
  <c r="E39" i="5"/>
  <c r="E37" i="5"/>
  <c r="E60" i="5"/>
  <c r="E58" i="5"/>
  <c r="E25" i="5"/>
  <c r="E13" i="5"/>
  <c r="C14" i="5"/>
  <c r="C5" i="5" s="1"/>
  <c r="B14" i="4"/>
  <c r="B5" i="4" s="1"/>
  <c r="B45" i="4" s="1"/>
  <c r="B47" i="5"/>
  <c r="E47" i="5" s="1"/>
  <c r="E56" i="5"/>
  <c r="E55" i="5"/>
  <c r="E54" i="5"/>
  <c r="E53" i="5"/>
  <c r="G5" i="5"/>
  <c r="E31" i="5"/>
  <c r="B14" i="5"/>
  <c r="E14" i="5" s="1"/>
  <c r="B66" i="5"/>
  <c r="E32" i="5"/>
  <c r="E30" i="5"/>
  <c r="B21" i="5"/>
  <c r="E21" i="5" s="1"/>
  <c r="B17" i="5"/>
  <c r="E17" i="5" s="1"/>
  <c r="E16" i="5"/>
  <c r="E45" i="5"/>
  <c r="E43" i="5"/>
  <c r="E41" i="5"/>
  <c r="E64" i="5"/>
  <c r="C63" i="4"/>
  <c r="C75" i="4" s="1"/>
  <c r="C45" i="4"/>
  <c r="B6" i="5"/>
  <c r="D66" i="5"/>
  <c r="E36" i="5"/>
  <c r="E22" i="5"/>
  <c r="E18" i="5"/>
  <c r="E12" i="5"/>
  <c r="D10" i="5"/>
  <c r="E52" i="5"/>
  <c r="B9" i="5"/>
  <c r="C5" i="7"/>
  <c r="D66" i="7"/>
  <c r="D10" i="7"/>
  <c r="D34" i="7"/>
  <c r="D21" i="7"/>
  <c r="D14" i="7"/>
  <c r="C67" i="6"/>
  <c r="C79" i="6" s="1"/>
  <c r="G49" i="5" l="1"/>
  <c r="B49" i="7"/>
  <c r="B67" i="7"/>
  <c r="F67" i="7"/>
  <c r="F49" i="7"/>
  <c r="G67" i="5"/>
  <c r="E35" i="5"/>
  <c r="B63" i="4"/>
  <c r="B75" i="4" s="1"/>
  <c r="C49" i="5"/>
  <c r="C67" i="5"/>
  <c r="E66" i="5"/>
  <c r="D9" i="5"/>
  <c r="E10" i="5"/>
  <c r="D33" i="5"/>
  <c r="E34" i="5"/>
  <c r="B5" i="5"/>
  <c r="E6" i="5"/>
  <c r="B33" i="5"/>
  <c r="C67" i="7"/>
  <c r="C79" i="7" s="1"/>
  <c r="C49" i="7"/>
  <c r="D33" i="7"/>
  <c r="D9" i="7"/>
  <c r="D17" i="7"/>
  <c r="B67" i="6"/>
  <c r="B79" i="6" s="1"/>
  <c r="C49" i="6"/>
  <c r="B49" i="6"/>
  <c r="E33" i="5" l="1"/>
  <c r="E9" i="5"/>
  <c r="D5" i="5"/>
  <c r="B49" i="5"/>
  <c r="B67" i="5"/>
  <c r="B79" i="5" s="1"/>
  <c r="D49" i="6"/>
  <c r="D5" i="7"/>
  <c r="B79" i="7"/>
  <c r="D49" i="7"/>
  <c r="E5" i="5" l="1"/>
  <c r="D67" i="5"/>
  <c r="D79" i="5" s="1"/>
  <c r="D49" i="5"/>
  <c r="E49" i="5" s="1"/>
</calcChain>
</file>

<file path=xl/sharedStrings.xml><?xml version="1.0" encoding="utf-8"?>
<sst xmlns="http://schemas.openxmlformats.org/spreadsheetml/2006/main" count="547" uniqueCount="115">
  <si>
    <t>Наименование показателя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</si>
  <si>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</si>
  <si>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</si>
  <si>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</si>
  <si>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</si>
  <si>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</si>
  <si>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</si>
  <si>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</si>
  <si>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</si>
  <si>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</si>
  <si>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</si>
  <si>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</si>
  <si>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</si>
  <si>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</si>
  <si>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</si>
  <si>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</si>
  <si>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</si>
  <si>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</si>
  <si>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</si>
  <si>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АДМИНИСТРАТИВНЫЕ ПЛАТЕЖИ И СБОРЫ</t>
  </si>
  <si>
    <t>ШТРАФЫ, САНКЦИИ, ВОЗМЕЩЕНИЕ УЩЕРБА</t>
  </si>
  <si>
    <t>ВОЗВРАТ ОСТАТКОВ СУБСИДИЙ И СУБВЕНЦИЙ ПРОШЛЫХ ЛЕТ</t>
  </si>
  <si>
    <t>БЕЗВОЗМЕЗДНЫЕ ПОСТУПЛЕНИЯ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</si>
  <si>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</si>
  <si>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</si>
  <si>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</si>
  <si>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</si>
  <si>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</si>
  <si>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БЕЗВОЗМЕЗДНЫЕ  ПОСТУПЛЕНИЯ  ОТ ГОСУДАРСТВЕННЫХ ОРГАНИЗАЦИЙ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</si>
  <si>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</si>
  <si>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</si>
  <si>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</si>
  <si>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</si>
  <si>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</si>
  <si>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</si>
  <si>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Изменение остатков средств на счетах по учету средств бюджета</t>
  </si>
  <si>
    <t>Налог, взимаемый в связи с применением упрощенной системы налогообложения</t>
  </si>
  <si>
    <t>БЕЗВОЗМЕЗДНЫЕ ПОСТУПЛЕНИЯ ОТ ДРУГИХ БЮДЖЕТОВ БЮДЖЕТНОЙ СИСТЕМЫ РОССИЙСКОЙ ФЕДЕРАЦИИ</t>
  </si>
  <si>
    <t>БЕЗВОЗМЕЗДНЫЕ  ПОСТУПЛЕНИЯ  ОТ НЕГОСУДАРСТВЕННЫХ ОРГАНИЗАЦИЙ</t>
  </si>
  <si>
    <t xml:space="preserve">Д О Х О Д Ы </t>
  </si>
  <si>
    <t xml:space="preserve">Р А С Х О Д Ы </t>
  </si>
  <si>
    <t>Курсовая разница</t>
  </si>
  <si>
    <t>БЕЗВОЗМЕЗДНЫЕ ПОСТУПЛЕНИЯ ОТ НЕРЕЗИДЕНТОВ</t>
  </si>
  <si>
    <t xml:space="preserve"> - акцизы на алкогольную продукцию</t>
  </si>
  <si>
    <t>Исполнение государственных и муниципальных гарантий в валюте Российской Федерации</t>
  </si>
  <si>
    <t>Операции по управлению остатками средств на счетах по учету средств бюджета</t>
  </si>
  <si>
    <t>Бюджетные кредиты, предоставленные внутри страны в валюте Российской Федерации</t>
  </si>
  <si>
    <t>ПРЕВЫШЕНИЕ РАСХОДОВ НАД ДОХОДАМИ ("-" ДЕФИЦИТ,"+" ПРОФИЦИТ)</t>
  </si>
  <si>
    <t>(тыс. рублей)</t>
  </si>
  <si>
    <t>ВСЕГО ДОХОДОВ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</si>
  <si>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</si>
  <si>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</si>
  <si>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</si>
  <si>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</si>
  <si>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 xml:space="preserve"> - Территориальный дорожный фонд 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</si>
  <si>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</si>
  <si>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</si>
  <si>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</si>
  <si>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</si>
  <si>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</si>
  <si>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</si>
  <si>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</si>
  <si>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</si>
  <si>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</si>
  <si>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</si>
  <si>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ВСЕГО РАСХОДОВ</t>
  </si>
  <si>
    <t xml:space="preserve"> - дотации бюджетам на частичную компенсацию дополнительных расходов на повышение оплаты труда работников бюджетной сферы</t>
  </si>
  <si>
    <t xml:space="preserve">Ожидаемое исполнение в 2018 году </t>
  </si>
  <si>
    <t xml:space="preserve"> - акцизы на средние дистилляты, производимые на территории Российской Федерации</t>
  </si>
  <si>
    <t xml:space="preserve"> - дотации на выравнивание бюджетной обеспеченности</t>
  </si>
  <si>
    <t xml:space="preserve"> - дотации на поддержку мер по обеспечению сбалансированности бюджетов</t>
  </si>
  <si>
    <t xml:space="preserve"> - доходы от уплаты акцизов на нефтепродукты, акцизы на средние дистилляты, производимые на территории Российской Федерации</t>
  </si>
  <si>
    <t>ПРОЧИЕ БЕЗВОЗМЕЗДНЫЕ ПОСТУПЛЕНИЯ</t>
  </si>
  <si>
    <t>ДОХОДЫ БЮДЖЕТОВ БЮДЖЕТНОЙ СИСТЕМЫ РОССИЙСКОЙ ФЕДЕРАЦИИ ОТ ВОЗВРАТА ОСТАТКОВ СУБСИДИЙ И СУБВЕНЦИЙ ПРОШЛЫХ ЛЕТ, ВОЗВРАТ ОСТАТКОВ СУБСИДИЙ И СУБВЕНЦИЙ ПРОШЛЫХ ЛЕТ</t>
  </si>
  <si>
    <t>Отчет             на 1 августа     2018 года</t>
  </si>
  <si>
    <t>Сведения об исполнении бюджета за январь-июль 2018 года и оценка ожидаемого исполнения бюджета Республики Карелия в 2018 году</t>
  </si>
  <si>
    <t>ДОХОДЫ ОТ ОКАЗАНИЯ ПЛАТНЫХ УСЛУГ И КОМПЕНСАЦИИ ЗАТРАТ ГОСУДАРСТВА</t>
  </si>
  <si>
    <t xml:space="preserve"> ПРОЧИЕ НЕНАЛОГОВЫЕ ДОХОДЫ</t>
  </si>
  <si>
    <t>ДОХОДЫ ОТ ПРОДАЖИ МАТЕРИАЛЬНЫХ И НЕМАТЕРИАЛЬНЫХ АКТИВОВ</t>
  </si>
  <si>
    <t>ГОСУДАРСТВЕННАЯ ПОШЛИНА</t>
  </si>
  <si>
    <t>ДОХОДЫ ОТ ОКАЗАНИЯ ПЛАТНЫХ УСЛУГ И КОМПЕНСАЦИИ ЗАТРАТ ГОСУДАРСТВА, ДОХОДЫ ОТ ПРОДАЖИ МАТЕРИАЛЬНЫХ И НЕМАТЕРИАЛЬНЫХ АКТИВОВ</t>
  </si>
  <si>
    <t>ШТРАФЫ, САНКЦИИ, ВОЗМЕЩЕНИЕ УЩЕРБА,  ПРОЧИЕ НЕНАЛОГОВЫЕ ДОХОДЫ</t>
  </si>
  <si>
    <t>Сведения об исполнении бюджета за январь-август 2018 года и оценка ожидаемого исполнения бюджета Республики Карелия в 2018 году</t>
  </si>
  <si>
    <t>Отчет             на 1 сентября 2018 года</t>
  </si>
  <si>
    <t>Отчет  на 
1 сентября 2018 года</t>
  </si>
  <si>
    <t>План по отчету 2018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</si>
  <si>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</si>
  <si>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</si>
  <si>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</si>
  <si>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</si>
  <si>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</si>
  <si>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Отчет  на 
1 октября 2018 года</t>
  </si>
  <si>
    <t>Сведения об исполнении бюджета за январь-сентябрь 2018 года и оценка ожидаемого исполнения бюджета Республики Карелия в 2018 году</t>
  </si>
  <si>
    <t>Х</t>
  </si>
  <si>
    <t>ПРОЧИЕ НЕНАЛОГОВЫЕ ДОХОДЫ</t>
  </si>
  <si>
    <t xml:space="preserve"> - дотации на частичную компенсацию дополнительных расходов на повышение оплаты труда работников бюджетной сферы и иные цели</t>
  </si>
  <si>
    <t>ДЕФИЦИТ(-)/ПРОФИЦИТ(+)</t>
  </si>
  <si>
    <t xml:space="preserve"> - дотации на поддержку мер по обеспечению сбалансированности </t>
  </si>
  <si>
    <t xml:space="preserve">Ожидаемое исполнение в 2020 году </t>
  </si>
  <si>
    <t>БЕЗВОЗМЕЗДНЫЕ  ПОСТУПЛЕНИЯ  ОТ ГОСУДАРСТВЕННЫХ ОРГАНИЗАЦИЙ, 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</si>
  <si>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</si>
  <si>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</si>
  <si>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 xml:space="preserve"> - доходы от уплаты акцизов на нефтепродукты, доходы от уплаты акцизов на этиловый спирт, акцизы на средние дистилляты, производимые на территории Российской Федерации</t>
  </si>
  <si>
    <t xml:space="preserve"> - акцизы на алкогольную продукцию, доходы от уплаты акцизов на алкогольную продукцию</t>
  </si>
  <si>
    <t>Сведения об исполнении бюджета Республики Карелия за январь-октябрь 2020 года и оценка ожидаемого исполнения бюджета Республики Карелия в 2020 году</t>
  </si>
  <si>
    <t>Отчет на 1 ноября 2020 года</t>
  </si>
  <si>
    <t xml:space="preserve"> - акцизы на пиво, доходы от уплаты акцизов на алкогольную продукцию</t>
  </si>
  <si>
    <t>(тыс.рублей)</t>
  </si>
  <si>
    <t>- дотации (гранты) за достижение показателей деятельности органов исполнительной власти субъектов Российской Федерации</t>
  </si>
  <si>
    <t xml:space="preserve"> - доходы от уплаты акцизов на нефтепродукты, доходы от уплаты акцизов на этиловый спирт, спиртосодержащую продукцию, акцизы на этиловый спирт</t>
  </si>
  <si>
    <t>Обслуживание государственного (муниципального) долга</t>
  </si>
  <si>
    <t>Отчет 
на 1 октября 
2025 года</t>
  </si>
  <si>
    <t>Налог на профессиональный доход, налог, взимаемый в связи с применением специального налогового режима "Автоматизированная упрощенная система налогообложения"</t>
  </si>
  <si>
    <t>Оценка ожидаемого исполнения бюджета Республики Карелия на 2025 год</t>
  </si>
  <si>
    <t xml:space="preserve">Ожидаемое исполнение 
в 2025 году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</si>
</sst>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₽&quot;###,##0.00"/>
    <numFmt numFmtId="165" formatCode="#,##0.0"/>
    <numFmt numFmtId="166" formatCode="#,##0.00_ ;\-#,##0.00\ "/>
    <numFmt numFmtId="167" formatCode="[&gt;=0.005]#,##0.0;[&lt;=-0.005]\-#,##0.0;#,##0.0"/>
    <numFmt numFmtId="168" formatCode="#,##0.0_ ;\-#,##0.0\ "/>
    <numFmt numFmtId="169" formatCode="#,##0.000_ ;\-#,##0.000\ "/>
  </numFmts>
  <fonts count="3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8"/>
      <color indexed="23"/>
      <name val="Arial Cyr"/>
      <charset val="204"/>
    </font>
    <font>
      <sz val="10"/>
      <color indexed="62"/>
      <name val="Arial Cyr"/>
      <charset val="204"/>
    </font>
    <font>
      <i/>
      <sz val="8"/>
      <color indexed="23"/>
      <name val="Calibri"/>
      <family val="2"/>
      <charset val="204"/>
    </font>
    <font>
      <sz val="11"/>
      <name val="Calibri"/>
      <family val="2"/>
      <charset val="204"/>
    </font>
    <font>
      <sz val="11"/>
      <color indexed="62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22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7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7"/>
      <color rgb="FFFF0000"/>
      <name val="Arial"/>
      <family val="2"/>
      <charset val="204"/>
    </font>
    <font>
      <sz val="9"/>
      <name val="Times New Roman"/>
      <family val="1"/>
      <charset val="204"/>
    </font>
    <font>
      <b/>
      <sz val="7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rgb="FFB2DFD7"/>
        <bgColor rgb="FFB2DFDB"/>
      </patternFill>
    </fill>
    <fill>
      <patternFill patternType="solid">
        <fgColor rgb="FFE0F2F1"/>
        <bgColor rgb="FFEDE7F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04">
    <xf numFmtId="0" fontId="0" fillId="0" borderId="0"/>
    <xf numFmtId="4" fontId="4" fillId="0" borderId="4">
      <alignment horizontal="right"/>
    </xf>
    <xf numFmtId="4" fontId="15" fillId="0" borderId="5">
      <alignment horizontal="right"/>
    </xf>
    <xf numFmtId="4" fontId="4" fillId="0" borderId="5">
      <alignment horizontal="right"/>
    </xf>
    <xf numFmtId="4" fontId="4" fillId="0" borderId="5">
      <alignment horizontal="right"/>
    </xf>
    <xf numFmtId="0" fontId="5" fillId="0" borderId="1" applyNumberFormat="0">
      <alignment horizontal="right" vertical="top"/>
    </xf>
    <xf numFmtId="0" fontId="14" fillId="0" borderId="2" applyNumberFormat="0">
      <alignment horizontal="right" vertical="top"/>
    </xf>
    <xf numFmtId="0" fontId="5" fillId="0" borderId="1" applyNumberFormat="0">
      <alignment horizontal="right" vertical="top"/>
    </xf>
    <xf numFmtId="0" fontId="14" fillId="0" borderId="2" applyNumberFormat="0">
      <alignment horizontal="right" vertical="top"/>
    </xf>
    <xf numFmtId="0" fontId="5" fillId="5" borderId="1" applyNumberFormat="0">
      <alignment horizontal="right" vertical="top"/>
    </xf>
    <xf numFmtId="0" fontId="14" fillId="5" borderId="2" applyNumberFormat="0">
      <alignment horizontal="right" vertical="top"/>
    </xf>
    <xf numFmtId="49" fontId="5" fillId="4" borderId="1">
      <alignment horizontal="left" vertical="top"/>
    </xf>
    <xf numFmtId="49" fontId="6" fillId="0" borderId="1">
      <alignment horizontal="left" vertical="top"/>
    </xf>
    <xf numFmtId="49" fontId="16" fillId="0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49" fontId="14" fillId="6" borderId="2">
      <alignment horizontal="left" vertical="top"/>
    </xf>
    <xf numFmtId="0" fontId="5" fillId="3" borderId="1">
      <alignment horizontal="left" vertical="top" wrapText="1"/>
    </xf>
    <xf numFmtId="0" fontId="14" fillId="7" borderId="2">
      <alignment horizontal="left" vertical="top" wrapText="1"/>
    </xf>
    <xf numFmtId="0" fontId="6" fillId="0" borderId="1">
      <alignment horizontal="left" vertical="top" wrapText="1"/>
    </xf>
    <xf numFmtId="0" fontId="16" fillId="0" borderId="2">
      <alignment horizontal="left" vertical="top" wrapText="1"/>
    </xf>
    <xf numFmtId="0" fontId="5" fillId="2" borderId="1">
      <alignment horizontal="left" vertical="top" wrapText="1"/>
    </xf>
    <xf numFmtId="0" fontId="14" fillId="8" borderId="2">
      <alignment horizontal="left" vertical="top" wrapText="1"/>
    </xf>
    <xf numFmtId="0" fontId="5" fillId="9" borderId="1">
      <alignment horizontal="left" vertical="top" wrapText="1"/>
    </xf>
    <xf numFmtId="0" fontId="14" fillId="10" borderId="2">
      <alignment horizontal="left" vertical="top" wrapText="1"/>
    </xf>
    <xf numFmtId="0" fontId="5" fillId="11" borderId="1">
      <alignment horizontal="left" vertical="top" wrapText="1"/>
    </xf>
    <xf numFmtId="0" fontId="14" fillId="12" borderId="2">
      <alignment horizontal="left" vertical="top" wrapText="1"/>
    </xf>
    <xf numFmtId="0" fontId="5" fillId="13" borderId="1">
      <alignment horizontal="left" vertical="top" wrapText="1"/>
    </xf>
    <xf numFmtId="0" fontId="5" fillId="0" borderId="1">
      <alignment horizontal="left" vertical="top" wrapText="1"/>
    </xf>
    <xf numFmtId="0" fontId="14" fillId="0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7" fillId="0" borderId="0">
      <alignment horizontal="left" vertical="top"/>
    </xf>
    <xf numFmtId="0" fontId="9" fillId="0" borderId="0">
      <alignment horizontal="left" vertical="top"/>
    </xf>
    <xf numFmtId="0" fontId="17" fillId="0" borderId="0"/>
    <xf numFmtId="0" fontId="5" fillId="0" borderId="0">
      <protection locked="0"/>
    </xf>
    <xf numFmtId="0" fontId="5" fillId="0" borderId="0">
      <protection locked="0"/>
    </xf>
    <xf numFmtId="0" fontId="14" fillId="0" borderId="0">
      <protection locked="0"/>
    </xf>
    <xf numFmtId="0" fontId="12" fillId="0" borderId="0"/>
    <xf numFmtId="0" fontId="13" fillId="0" borderId="0"/>
    <xf numFmtId="0" fontId="17" fillId="0" borderId="0"/>
    <xf numFmtId="0" fontId="14" fillId="0" borderId="0"/>
    <xf numFmtId="0" fontId="14" fillId="0" borderId="0"/>
    <xf numFmtId="0" fontId="3" fillId="0" borderId="0"/>
    <xf numFmtId="0" fontId="5" fillId="3" borderId="3" applyNumberFormat="0">
      <alignment horizontal="right" vertical="top"/>
    </xf>
    <xf numFmtId="0" fontId="5" fillId="2" borderId="3" applyNumberFormat="0">
      <alignment horizontal="right" vertical="top"/>
    </xf>
    <xf numFmtId="0" fontId="5" fillId="0" borderId="1" applyNumberFormat="0">
      <alignment horizontal="right" vertical="top"/>
    </xf>
    <xf numFmtId="0" fontId="14" fillId="0" borderId="2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14" fillId="8" borderId="3" applyNumberFormat="0">
      <alignment horizontal="right" vertical="top"/>
    </xf>
    <xf numFmtId="0" fontId="5" fillId="0" borderId="1" applyNumberFormat="0">
      <alignment horizontal="right" vertical="top"/>
    </xf>
    <xf numFmtId="0" fontId="14" fillId="0" borderId="2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14" fillId="7" borderId="3" applyNumberFormat="0">
      <alignment horizontal="right" vertical="top"/>
    </xf>
    <xf numFmtId="0" fontId="5" fillId="9" borderId="3" applyNumberFormat="0">
      <alignment horizontal="right" vertical="top"/>
    </xf>
    <xf numFmtId="0" fontId="5" fillId="0" borderId="1" applyNumberFormat="0">
      <alignment horizontal="right" vertical="top"/>
    </xf>
    <xf numFmtId="0" fontId="14" fillId="0" borderId="2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0" fontId="14" fillId="10" borderId="3" applyNumberFormat="0">
      <alignment horizontal="right" vertical="top"/>
    </xf>
    <xf numFmtId="49" fontId="8" fillId="15" borderId="1">
      <alignment horizontal="left" vertical="top" wrapText="1"/>
    </xf>
    <xf numFmtId="49" fontId="5" fillId="0" borderId="1">
      <alignment horizontal="left" vertical="top" wrapText="1"/>
    </xf>
    <xf numFmtId="49" fontId="10" fillId="0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49" fontId="11" fillId="16" borderId="2">
      <alignment horizontal="left" vertical="top" wrapText="1"/>
    </xf>
    <xf numFmtId="0" fontId="5" fillId="13" borderId="1">
      <alignment horizontal="left" vertical="top" wrapText="1"/>
    </xf>
    <xf numFmtId="0" fontId="5" fillId="0" borderId="1">
      <alignment horizontal="left" vertical="top" wrapText="1"/>
    </xf>
    <xf numFmtId="0" fontId="18" fillId="0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4" fillId="14" borderId="2">
      <alignment horizontal="left" vertical="top" wrapText="1"/>
    </xf>
    <xf numFmtId="0" fontId="15" fillId="17" borderId="7" applyNumberFormat="0" applyFont="0" applyBorder="0" applyAlignment="0" applyProtection="0">
      <alignment horizontal="left" wrapText="1"/>
    </xf>
    <xf numFmtId="0" fontId="15" fillId="18" borderId="7" applyNumberFormat="0" applyFont="0" applyBorder="0" applyAlignment="0" applyProtection="0">
      <alignment horizontal="left" wrapText="1"/>
    </xf>
    <xf numFmtId="0" fontId="2" fillId="0" borderId="0"/>
    <xf numFmtId="0" fontId="1" fillId="0" borderId="0"/>
    <xf numFmtId="0" fontId="19" fillId="0" borderId="0"/>
    <xf numFmtId="0" fontId="1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153">
    <xf numFmtId="0" fontId="0" fillId="0" borderId="0" xfId="0"/>
    <xf numFmtId="0" fontId="19" fillId="0" borderId="0" xfId="132" applyFont="1" applyAlignment="1"/>
    <xf numFmtId="0" fontId="20" fillId="0" borderId="0" xfId="132" applyFont="1" applyAlignment="1"/>
    <xf numFmtId="0" fontId="19" fillId="0" borderId="0" xfId="132" applyFont="1"/>
    <xf numFmtId="0" fontId="20" fillId="0" borderId="2" xfId="132" applyFont="1" applyBorder="1" applyAlignment="1">
      <alignment horizontal="center" vertical="center" wrapText="1"/>
    </xf>
    <xf numFmtId="0" fontId="20" fillId="0" borderId="6" xfId="132" applyFont="1" applyBorder="1" applyAlignment="1">
      <alignment horizontal="center" vertical="center" wrapText="1"/>
    </xf>
    <xf numFmtId="0" fontId="20" fillId="0" borderId="0" xfId="132" applyFont="1" applyAlignment="1">
      <alignment horizontal="center" vertical="center" wrapText="1"/>
    </xf>
    <xf numFmtId="0" fontId="20" fillId="0" borderId="2" xfId="132" applyFont="1" applyFill="1" applyBorder="1" applyAlignment="1">
      <alignment vertical="top" wrapText="1"/>
    </xf>
    <xf numFmtId="3" fontId="20" fillId="0" borderId="2" xfId="132" applyNumberFormat="1" applyFont="1" applyFill="1" applyBorder="1" applyAlignment="1">
      <alignment vertical="top" wrapText="1"/>
    </xf>
    <xf numFmtId="0" fontId="20" fillId="0" borderId="6" xfId="132" applyFont="1" applyFill="1" applyBorder="1" applyAlignment="1">
      <alignment horizontal="center" vertical="center" wrapText="1"/>
    </xf>
    <xf numFmtId="0" fontId="20" fillId="0" borderId="0" xfId="132" applyFont="1" applyFill="1" applyBorder="1" applyAlignment="1">
      <alignment horizontal="center" vertical="center" wrapText="1"/>
    </xf>
    <xf numFmtId="0" fontId="20" fillId="0" borderId="0" xfId="132" applyFont="1" applyFill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right" wrapText="1"/>
    </xf>
    <xf numFmtId="3" fontId="19" fillId="0" borderId="0" xfId="132" applyNumberFormat="1" applyFont="1" applyFill="1" applyBorder="1"/>
    <xf numFmtId="3" fontId="19" fillId="0" borderId="0" xfId="132" applyNumberFormat="1" applyFont="1" applyFill="1"/>
    <xf numFmtId="0" fontId="19" fillId="0" borderId="0" xfId="132" applyFont="1" applyFill="1"/>
    <xf numFmtId="0" fontId="19" fillId="0" borderId="2" xfId="132" applyFont="1" applyBorder="1" applyAlignment="1">
      <alignment vertical="top" wrapText="1"/>
    </xf>
    <xf numFmtId="4" fontId="19" fillId="0" borderId="0" xfId="132" applyNumberFormat="1" applyFont="1" applyFill="1" applyBorder="1"/>
    <xf numFmtId="0" fontId="19" fillId="0" borderId="2" xfId="132" applyFont="1" applyBorder="1" applyAlignment="1">
      <alignment horizontal="left" vertical="top" wrapText="1"/>
    </xf>
    <xf numFmtId="0" fontId="19" fillId="0" borderId="0" xfId="132" applyFont="1" applyFill="1" applyBorder="1"/>
    <xf numFmtId="0" fontId="19" fillId="0" borderId="2" xfId="132" applyFont="1" applyFill="1" applyBorder="1" applyAlignment="1">
      <alignment vertical="top" wrapText="1"/>
    </xf>
    <xf numFmtId="3" fontId="20" fillId="0" borderId="0" xfId="132" applyNumberFormat="1" applyFont="1" applyFill="1" applyBorder="1"/>
    <xf numFmtId="3" fontId="20" fillId="0" borderId="0" xfId="132" applyNumberFormat="1" applyFont="1" applyFill="1"/>
    <xf numFmtId="0" fontId="20" fillId="0" borderId="0" xfId="132" applyFont="1" applyFill="1"/>
    <xf numFmtId="3" fontId="19" fillId="0" borderId="0" xfId="132" applyNumberFormat="1" applyFont="1"/>
    <xf numFmtId="0" fontId="20" fillId="0" borderId="0" xfId="132" applyFont="1" applyFill="1" applyBorder="1"/>
    <xf numFmtId="0" fontId="20" fillId="0" borderId="0" xfId="132" applyFont="1"/>
    <xf numFmtId="3" fontId="23" fillId="0" borderId="0" xfId="132" applyNumberFormat="1" applyFont="1" applyFill="1" applyBorder="1"/>
    <xf numFmtId="3" fontId="23" fillId="0" borderId="0" xfId="132" applyNumberFormat="1" applyFont="1" applyFill="1"/>
    <xf numFmtId="0" fontId="23" fillId="0" borderId="0" xfId="132" applyFont="1" applyAlignment="1">
      <alignment wrapText="1"/>
    </xf>
    <xf numFmtId="0" fontId="19" fillId="0" borderId="0" xfId="132" applyFont="1" applyAlignment="1">
      <alignment horizontal="left" wrapText="1"/>
    </xf>
    <xf numFmtId="0" fontId="19" fillId="0" borderId="0" xfId="132" applyFont="1" applyAlignment="1">
      <alignment wrapText="1"/>
    </xf>
    <xf numFmtId="3" fontId="23" fillId="0" borderId="0" xfId="7" applyNumberFormat="1" applyFont="1" applyFill="1" applyBorder="1" applyAlignment="1">
      <alignment horizontal="right"/>
    </xf>
    <xf numFmtId="3" fontId="19" fillId="0" borderId="0" xfId="132" applyNumberFormat="1" applyFont="1" applyFill="1" applyAlignment="1">
      <alignment horizontal="right"/>
    </xf>
    <xf numFmtId="3" fontId="19" fillId="0" borderId="2" xfId="132" applyNumberFormat="1" applyFont="1" applyFill="1" applyBorder="1" applyAlignment="1">
      <alignment horizontal="center" vertical="center" wrapText="1"/>
    </xf>
    <xf numFmtId="3" fontId="19" fillId="0" borderId="0" xfId="132" applyNumberFormat="1" applyFont="1" applyAlignment="1">
      <alignment horizontal="left" wrapText="1"/>
    </xf>
    <xf numFmtId="3" fontId="19" fillId="0" borderId="0" xfId="132" applyNumberFormat="1" applyFont="1" applyAlignment="1">
      <alignment wrapText="1"/>
    </xf>
    <xf numFmtId="1" fontId="21" fillId="0" borderId="6" xfId="0" applyNumberFormat="1" applyFont="1" applyFill="1" applyBorder="1" applyAlignment="1">
      <alignment horizontal="right" wrapText="1"/>
    </xf>
    <xf numFmtId="3" fontId="19" fillId="0" borderId="0" xfId="132" applyNumberFormat="1" applyFont="1" applyFill="1" applyAlignment="1">
      <alignment horizontal="left" wrapText="1"/>
    </xf>
    <xf numFmtId="3" fontId="19" fillId="0" borderId="0" xfId="132" applyNumberFormat="1" applyFont="1" applyFill="1" applyAlignment="1">
      <alignment wrapText="1"/>
    </xf>
    <xf numFmtId="165" fontId="20" fillId="0" borderId="2" xfId="132" applyNumberFormat="1" applyFont="1" applyFill="1" applyBorder="1" applyAlignment="1">
      <alignment vertical="top"/>
    </xf>
    <xf numFmtId="165" fontId="19" fillId="0" borderId="2" xfId="132" applyNumberFormat="1" applyFont="1" applyFill="1" applyBorder="1" applyAlignment="1">
      <alignment vertical="top"/>
    </xf>
    <xf numFmtId="165" fontId="24" fillId="0" borderId="2" xfId="132" applyNumberFormat="1" applyFont="1" applyFill="1" applyBorder="1" applyAlignment="1">
      <alignment vertical="top"/>
    </xf>
    <xf numFmtId="165" fontId="20" fillId="0" borderId="2" xfId="132" applyNumberFormat="1" applyFont="1" applyFill="1" applyBorder="1" applyAlignment="1">
      <alignment vertical="top" wrapText="1"/>
    </xf>
    <xf numFmtId="165" fontId="22" fillId="0" borderId="2" xfId="132" applyNumberFormat="1" applyFont="1" applyFill="1" applyBorder="1" applyAlignment="1">
      <alignment vertical="top"/>
    </xf>
    <xf numFmtId="165" fontId="19" fillId="19" borderId="2" xfId="132" applyNumberFormat="1" applyFont="1" applyFill="1" applyBorder="1" applyAlignment="1">
      <alignment vertical="top"/>
    </xf>
    <xf numFmtId="165" fontId="24" fillId="19" borderId="2" xfId="132" applyNumberFormat="1" applyFont="1" applyFill="1" applyBorder="1" applyAlignment="1">
      <alignment vertical="top"/>
    </xf>
    <xf numFmtId="166" fontId="25" fillId="0" borderId="8" xfId="0" applyNumberFormat="1" applyFont="1" applyFill="1" applyBorder="1" applyAlignment="1">
      <alignment horizontal="right" shrinkToFit="1"/>
    </xf>
    <xf numFmtId="166" fontId="25" fillId="0" borderId="9" xfId="0" applyNumberFormat="1" applyFont="1" applyFill="1" applyBorder="1" applyAlignment="1">
      <alignment horizontal="right" shrinkToFit="1"/>
    </xf>
    <xf numFmtId="4" fontId="25" fillId="0" borderId="9" xfId="0" applyNumberFormat="1" applyFont="1" applyFill="1" applyBorder="1" applyAlignment="1">
      <alignment horizontal="right"/>
    </xf>
    <xf numFmtId="0" fontId="19" fillId="19" borderId="2" xfId="132" applyFont="1" applyFill="1" applyBorder="1" applyAlignment="1">
      <alignment vertical="top" wrapText="1"/>
    </xf>
    <xf numFmtId="1" fontId="21" fillId="19" borderId="6" xfId="0" applyNumberFormat="1" applyFont="1" applyFill="1" applyBorder="1" applyAlignment="1">
      <alignment horizontal="right" wrapText="1"/>
    </xf>
    <xf numFmtId="0" fontId="19" fillId="19" borderId="0" xfId="132" applyFont="1" applyFill="1" applyBorder="1"/>
    <xf numFmtId="166" fontId="25" fillId="19" borderId="9" xfId="0" applyNumberFormat="1" applyFont="1" applyFill="1" applyBorder="1" applyAlignment="1">
      <alignment horizontal="right" shrinkToFit="1"/>
    </xf>
    <xf numFmtId="0" fontId="19" fillId="19" borderId="0" xfId="132" applyFont="1" applyFill="1"/>
    <xf numFmtId="0" fontId="19" fillId="19" borderId="2" xfId="132" applyFont="1" applyFill="1" applyBorder="1" applyAlignment="1">
      <alignment horizontal="left" vertical="top" wrapText="1"/>
    </xf>
    <xf numFmtId="0" fontId="19" fillId="0" borderId="2" xfId="132" applyFont="1" applyFill="1" applyBorder="1" applyAlignment="1">
      <alignment horizontal="left" vertical="top" wrapText="1"/>
    </xf>
    <xf numFmtId="165" fontId="19" fillId="0" borderId="11" xfId="132" applyNumberFormat="1" applyFont="1" applyFill="1" applyBorder="1" applyAlignment="1">
      <alignment vertical="top"/>
    </xf>
    <xf numFmtId="0" fontId="20" fillId="0" borderId="12" xfId="132" applyFont="1" applyFill="1" applyBorder="1" applyAlignment="1">
      <alignment vertical="top" wrapText="1"/>
    </xf>
    <xf numFmtId="0" fontId="19" fillId="0" borderId="8" xfId="132" applyFont="1" applyBorder="1" applyAlignment="1">
      <alignment horizontal="left" vertical="top" wrapText="1"/>
    </xf>
    <xf numFmtId="0" fontId="19" fillId="0" borderId="2" xfId="0" applyFont="1" applyBorder="1" applyAlignment="1">
      <alignment vertical="top" wrapText="1"/>
    </xf>
    <xf numFmtId="0" fontId="19" fillId="0" borderId="2" xfId="0" applyFont="1" applyBorder="1" applyAlignment="1">
      <alignment wrapText="1"/>
    </xf>
    <xf numFmtId="165" fontId="20" fillId="0" borderId="0" xfId="132" applyNumberFormat="1" applyFont="1" applyFill="1" applyBorder="1" applyAlignment="1">
      <alignment vertical="top"/>
    </xf>
    <xf numFmtId="165" fontId="19" fillId="0" borderId="0" xfId="132" applyNumberFormat="1" applyFont="1" applyFill="1" applyBorder="1" applyAlignment="1">
      <alignment vertical="top"/>
    </xf>
    <xf numFmtId="0" fontId="19" fillId="0" borderId="0" xfId="132" applyFont="1" applyBorder="1"/>
    <xf numFmtId="166" fontId="25" fillId="19" borderId="0" xfId="0" applyNumberFormat="1" applyFont="1" applyFill="1" applyBorder="1" applyAlignment="1">
      <alignment horizontal="right" shrinkToFit="1"/>
    </xf>
    <xf numFmtId="166" fontId="25" fillId="0" borderId="0" xfId="0" applyNumberFormat="1" applyFont="1" applyFill="1" applyBorder="1" applyAlignment="1">
      <alignment horizontal="right" shrinkToFit="1"/>
    </xf>
    <xf numFmtId="165" fontId="24" fillId="0" borderId="0" xfId="132" applyNumberFormat="1" applyFont="1" applyFill="1" applyBorder="1" applyAlignment="1">
      <alignment vertical="top"/>
    </xf>
    <xf numFmtId="0" fontId="19" fillId="19" borderId="0" xfId="132" applyFont="1" applyFill="1" applyBorder="1" applyAlignment="1">
      <alignment horizontal="center"/>
    </xf>
    <xf numFmtId="3" fontId="19" fillId="0" borderId="0" xfId="132" applyNumberFormat="1" applyFont="1" applyBorder="1"/>
    <xf numFmtId="0" fontId="20" fillId="0" borderId="0" xfId="132" applyFont="1" applyBorder="1"/>
    <xf numFmtId="165" fontId="20" fillId="0" borderId="0" xfId="132" applyNumberFormat="1" applyFont="1" applyFill="1" applyBorder="1" applyAlignment="1">
      <alignment vertical="top" wrapText="1"/>
    </xf>
    <xf numFmtId="165" fontId="22" fillId="0" borderId="0" xfId="132" applyNumberFormat="1" applyFont="1" applyFill="1" applyBorder="1" applyAlignment="1">
      <alignment vertical="top"/>
    </xf>
    <xf numFmtId="4" fontId="25" fillId="0" borderId="0" xfId="0" applyNumberFormat="1" applyFont="1" applyFill="1" applyBorder="1" applyAlignment="1">
      <alignment horizontal="right"/>
    </xf>
    <xf numFmtId="164" fontId="26" fillId="0" borderId="13" xfId="0" applyNumberFormat="1" applyFont="1" applyBorder="1" applyAlignment="1">
      <alignment horizontal="right" wrapText="1"/>
    </xf>
    <xf numFmtId="164" fontId="27" fillId="0" borderId="13" xfId="0" applyNumberFormat="1" applyFont="1" applyBorder="1" applyAlignment="1">
      <alignment horizontal="right" wrapText="1"/>
    </xf>
    <xf numFmtId="0" fontId="19" fillId="0" borderId="2" xfId="0" applyFont="1" applyFill="1" applyBorder="1" applyAlignment="1">
      <alignment vertical="top" wrapText="1"/>
    </xf>
    <xf numFmtId="0" fontId="19" fillId="0" borderId="8" xfId="132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wrapText="1"/>
    </xf>
    <xf numFmtId="0" fontId="24" fillId="0" borderId="0" xfId="132" applyFont="1" applyFill="1" applyBorder="1"/>
    <xf numFmtId="166" fontId="28" fillId="0" borderId="0" xfId="0" applyNumberFormat="1" applyFont="1" applyFill="1" applyBorder="1" applyAlignment="1">
      <alignment horizontal="right" shrinkToFit="1"/>
    </xf>
    <xf numFmtId="0" fontId="24" fillId="0" borderId="0" xfId="132" applyFont="1" applyFill="1"/>
    <xf numFmtId="0" fontId="19" fillId="0" borderId="0" xfId="132" applyFont="1" applyFill="1" applyAlignment="1">
      <alignment horizontal="left" wrapText="1"/>
    </xf>
    <xf numFmtId="0" fontId="19" fillId="0" borderId="0" xfId="132" applyFont="1" applyFill="1" applyAlignment="1">
      <alignment wrapText="1"/>
    </xf>
    <xf numFmtId="1" fontId="21" fillId="0" borderId="0" xfId="0" applyNumberFormat="1" applyFont="1" applyFill="1" applyBorder="1" applyAlignment="1">
      <alignment horizontal="right" wrapText="1"/>
    </xf>
    <xf numFmtId="0" fontId="19" fillId="0" borderId="2" xfId="132" applyFont="1" applyFill="1" applyBorder="1" applyAlignment="1">
      <alignment vertical="center" wrapText="1"/>
    </xf>
    <xf numFmtId="3" fontId="19" fillId="0" borderId="0" xfId="132" applyNumberFormat="1" applyFont="1" applyFill="1" applyAlignment="1">
      <alignment horizontal="center"/>
    </xf>
    <xf numFmtId="3" fontId="19" fillId="0" borderId="0" xfId="132" applyNumberFormat="1" applyFont="1" applyFill="1" applyAlignment="1">
      <alignment horizontal="center" wrapText="1"/>
    </xf>
    <xf numFmtId="3" fontId="23" fillId="0" borderId="0" xfId="7" applyNumberFormat="1" applyFont="1" applyFill="1" applyBorder="1" applyAlignment="1">
      <alignment horizontal="center"/>
    </xf>
    <xf numFmtId="3" fontId="23" fillId="0" borderId="0" xfId="132" applyNumberFormat="1" applyFont="1" applyFill="1" applyBorder="1" applyAlignment="1">
      <alignment horizontal="center"/>
    </xf>
    <xf numFmtId="3" fontId="23" fillId="0" borderId="0" xfId="132" applyNumberFormat="1" applyFont="1" applyFill="1" applyAlignment="1">
      <alignment horizontal="center"/>
    </xf>
    <xf numFmtId="3" fontId="19" fillId="0" borderId="0" xfId="132" applyNumberFormat="1" applyFont="1" applyAlignment="1">
      <alignment horizontal="center" wrapText="1"/>
    </xf>
    <xf numFmtId="0" fontId="19" fillId="0" borderId="0" xfId="132" applyFont="1" applyFill="1" applyAlignment="1"/>
    <xf numFmtId="0" fontId="20" fillId="0" borderId="0" xfId="132" applyFont="1" applyFill="1" applyAlignment="1"/>
    <xf numFmtId="0" fontId="20" fillId="0" borderId="2" xfId="132" applyFont="1" applyFill="1" applyBorder="1" applyAlignment="1">
      <alignment horizontal="center" vertical="center" wrapText="1"/>
    </xf>
    <xf numFmtId="0" fontId="20" fillId="0" borderId="0" xfId="132" applyFont="1" applyFill="1" applyAlignment="1">
      <alignment horizontal="center" vertical="center" wrapText="1"/>
    </xf>
    <xf numFmtId="0" fontId="19" fillId="0" borderId="2" xfId="132" applyFont="1" applyFill="1" applyBorder="1" applyAlignment="1">
      <alignment horizontal="center" vertical="center" wrapText="1"/>
    </xf>
    <xf numFmtId="165" fontId="20" fillId="0" borderId="2" xfId="132" applyNumberFormat="1" applyFont="1" applyFill="1" applyBorder="1" applyAlignment="1">
      <alignment horizontal="center" vertical="top" wrapText="1"/>
    </xf>
    <xf numFmtId="165" fontId="20" fillId="0" borderId="2" xfId="132" applyNumberFormat="1" applyFont="1" applyFill="1" applyBorder="1" applyAlignment="1">
      <alignment horizontal="right" vertical="top" wrapText="1"/>
    </xf>
    <xf numFmtId="165" fontId="6" fillId="0" borderId="2" xfId="0" applyNumberFormat="1" applyFont="1" applyBorder="1"/>
    <xf numFmtId="166" fontId="30" fillId="0" borderId="0" xfId="0" applyNumberFormat="1" applyFont="1" applyFill="1" applyBorder="1" applyAlignment="1">
      <alignment horizontal="right" shrinkToFit="1"/>
    </xf>
    <xf numFmtId="1" fontId="31" fillId="0" borderId="0" xfId="0" applyNumberFormat="1" applyFont="1" applyFill="1" applyBorder="1" applyAlignment="1">
      <alignment horizontal="right" wrapText="1"/>
    </xf>
    <xf numFmtId="165" fontId="20" fillId="0" borderId="2" xfId="132" applyNumberFormat="1" applyFont="1" applyFill="1" applyBorder="1" applyAlignment="1">
      <alignment horizontal="right" vertical="center"/>
    </xf>
    <xf numFmtId="165" fontId="19" fillId="0" borderId="14" xfId="0" applyNumberFormat="1" applyFont="1" applyFill="1" applyBorder="1" applyAlignment="1">
      <alignment horizontal="right" vertical="center" wrapText="1"/>
    </xf>
    <xf numFmtId="165" fontId="19" fillId="0" borderId="2" xfId="132" applyNumberFormat="1" applyFont="1" applyFill="1" applyBorder="1" applyAlignment="1">
      <alignment horizontal="right" vertical="center"/>
    </xf>
    <xf numFmtId="165" fontId="21" fillId="0" borderId="14" xfId="0" applyNumberFormat="1" applyFont="1" applyFill="1" applyBorder="1" applyAlignment="1">
      <alignment horizontal="right" vertical="center" wrapText="1"/>
    </xf>
    <xf numFmtId="165" fontId="20" fillId="0" borderId="2" xfId="132" applyNumberFormat="1" applyFont="1" applyFill="1" applyBorder="1" applyAlignment="1">
      <alignment horizontal="right" vertical="center" wrapText="1"/>
    </xf>
    <xf numFmtId="165" fontId="0" fillId="0" borderId="2" xfId="0" applyNumberFormat="1" applyFill="1" applyBorder="1" applyAlignment="1">
      <alignment horizontal="right"/>
    </xf>
    <xf numFmtId="0" fontId="19" fillId="0" borderId="8" xfId="0" applyFont="1" applyFill="1" applyBorder="1" applyAlignment="1">
      <alignment vertical="top" wrapText="1"/>
    </xf>
    <xf numFmtId="165" fontId="24" fillId="0" borderId="2" xfId="132" applyNumberFormat="1" applyFont="1" applyFill="1" applyBorder="1" applyAlignment="1">
      <alignment horizontal="right" vertical="center"/>
    </xf>
    <xf numFmtId="165" fontId="24" fillId="0" borderId="14" xfId="0" applyNumberFormat="1" applyFont="1" applyFill="1" applyBorder="1" applyAlignment="1">
      <alignment horizontal="right" vertical="center" wrapText="1"/>
    </xf>
    <xf numFmtId="0" fontId="20" fillId="0" borderId="0" xfId="132" applyFont="1" applyFill="1" applyAlignment="1">
      <alignment horizontal="center" vertical="center" wrapText="1"/>
    </xf>
    <xf numFmtId="0" fontId="23" fillId="0" borderId="0" xfId="132" applyFont="1" applyFill="1" applyAlignment="1">
      <alignment wrapText="1"/>
    </xf>
    <xf numFmtId="0" fontId="19" fillId="0" borderId="0" xfId="132" applyFont="1" applyFill="1" applyAlignment="1">
      <alignment horizontal="right"/>
    </xf>
    <xf numFmtId="167" fontId="19" fillId="0" borderId="2" xfId="0" applyNumberFormat="1" applyFont="1" applyFill="1" applyBorder="1" applyAlignment="1">
      <alignment horizontal="right" vertical="center" wrapText="1"/>
    </xf>
    <xf numFmtId="167" fontId="20" fillId="0" borderId="2" xfId="132" applyNumberFormat="1" applyFont="1" applyFill="1" applyBorder="1" applyAlignment="1">
      <alignment horizontal="right" vertical="center"/>
    </xf>
    <xf numFmtId="167" fontId="19" fillId="0" borderId="2" xfId="132" applyNumberFormat="1" applyFont="1" applyFill="1" applyBorder="1" applyAlignment="1">
      <alignment horizontal="right" vertical="center"/>
    </xf>
    <xf numFmtId="167" fontId="20" fillId="0" borderId="2" xfId="132" applyNumberFormat="1" applyFont="1" applyFill="1" applyBorder="1" applyAlignment="1">
      <alignment horizontal="right" vertical="center" wrapText="1"/>
    </xf>
    <xf numFmtId="0" fontId="19" fillId="0" borderId="2" xfId="132" quotePrefix="1" applyFont="1" applyFill="1" applyBorder="1" applyAlignment="1">
      <alignment horizontal="left" vertical="top" wrapText="1"/>
    </xf>
    <xf numFmtId="4" fontId="6" fillId="0" borderId="2" xfId="0" applyNumberFormat="1" applyFont="1" applyFill="1" applyBorder="1" applyAlignment="1">
      <alignment horizontal="center"/>
    </xf>
    <xf numFmtId="167" fontId="19" fillId="0" borderId="2" xfId="124" applyNumberFormat="1" applyFont="1" applyFill="1" applyBorder="1" applyAlignment="1" applyProtection="1">
      <alignment horizontal="right" vertical="top"/>
    </xf>
    <xf numFmtId="167" fontId="19" fillId="20" borderId="2" xfId="0" applyNumberFormat="1" applyFont="1" applyFill="1" applyBorder="1" applyAlignment="1">
      <alignment horizontal="right" vertical="center" wrapText="1"/>
    </xf>
    <xf numFmtId="167" fontId="20" fillId="20" borderId="2" xfId="132" applyNumberFormat="1" applyFont="1" applyFill="1" applyBorder="1" applyAlignment="1">
      <alignment horizontal="right" vertical="top" wrapText="1"/>
    </xf>
    <xf numFmtId="165" fontId="20" fillId="20" borderId="2" xfId="132" applyNumberFormat="1" applyFont="1" applyFill="1" applyBorder="1" applyAlignment="1">
      <alignment horizontal="right" vertical="top" wrapText="1"/>
    </xf>
    <xf numFmtId="167" fontId="20" fillId="20" borderId="2" xfId="132" applyNumberFormat="1" applyFont="1" applyFill="1" applyBorder="1" applyAlignment="1">
      <alignment horizontal="right" vertical="center"/>
    </xf>
    <xf numFmtId="167" fontId="19" fillId="20" borderId="15" xfId="0" applyNumberFormat="1" applyFont="1" applyFill="1" applyBorder="1" applyAlignment="1">
      <alignment horizontal="right" vertical="center" wrapText="1"/>
    </xf>
    <xf numFmtId="165" fontId="19" fillId="0" borderId="15" xfId="132" applyNumberFormat="1" applyFont="1" applyFill="1" applyBorder="1" applyAlignment="1">
      <alignment horizontal="right" vertical="center"/>
    </xf>
    <xf numFmtId="0" fontId="19" fillId="0" borderId="0" xfId="132" applyFont="1" applyFill="1" applyBorder="1" applyAlignment="1"/>
    <xf numFmtId="167" fontId="20" fillId="0" borderId="0" xfId="132" applyNumberFormat="1" applyFont="1" applyFill="1" applyBorder="1" applyAlignment="1">
      <alignment horizontal="right" vertical="center"/>
    </xf>
    <xf numFmtId="167" fontId="19" fillId="0" borderId="0" xfId="0" applyNumberFormat="1" applyFont="1" applyFill="1" applyBorder="1" applyAlignment="1">
      <alignment horizontal="right" vertical="center" wrapText="1"/>
    </xf>
    <xf numFmtId="167" fontId="19" fillId="0" borderId="0" xfId="124" applyNumberFormat="1" applyFont="1" applyFill="1" applyBorder="1" applyAlignment="1" applyProtection="1">
      <alignment horizontal="right" vertical="top"/>
    </xf>
    <xf numFmtId="167" fontId="19" fillId="19" borderId="0" xfId="124" applyNumberFormat="1" applyFont="1" applyFill="1" applyBorder="1" applyAlignment="1" applyProtection="1">
      <alignment horizontal="right" vertical="top"/>
    </xf>
    <xf numFmtId="167" fontId="19" fillId="0" borderId="0" xfId="132" applyNumberFormat="1" applyFont="1" applyFill="1" applyBorder="1" applyAlignment="1">
      <alignment horizontal="right" vertical="center"/>
    </xf>
    <xf numFmtId="0" fontId="20" fillId="0" borderId="0" xfId="132" applyFont="1" applyFill="1" applyAlignment="1">
      <alignment horizontal="center" vertical="center" wrapText="1"/>
    </xf>
    <xf numFmtId="0" fontId="29" fillId="0" borderId="0" xfId="132" applyFont="1" applyFill="1" applyAlignment="1">
      <alignment horizontal="left" wrapText="1"/>
    </xf>
    <xf numFmtId="168" fontId="20" fillId="0" borderId="0" xfId="132" applyNumberFormat="1" applyFont="1" applyFill="1"/>
    <xf numFmtId="168" fontId="20" fillId="0" borderId="0" xfId="132" applyNumberFormat="1" applyFont="1" applyFill="1" applyAlignment="1">
      <alignment horizontal="center" vertical="center" wrapText="1"/>
    </xf>
    <xf numFmtId="168" fontId="19" fillId="0" borderId="0" xfId="132" applyNumberFormat="1" applyFont="1" applyFill="1"/>
    <xf numFmtId="167" fontId="20" fillId="0" borderId="16" xfId="132" applyNumberFormat="1" applyFont="1" applyFill="1" applyBorder="1" applyAlignment="1">
      <alignment horizontal="right" vertical="center"/>
    </xf>
    <xf numFmtId="167" fontId="19" fillId="0" borderId="16" xfId="132" applyNumberFormat="1" applyFont="1" applyFill="1" applyBorder="1" applyAlignment="1">
      <alignment horizontal="right" vertical="center"/>
    </xf>
    <xf numFmtId="167" fontId="19" fillId="0" borderId="16" xfId="0" applyNumberFormat="1" applyFont="1" applyFill="1" applyBorder="1" applyAlignment="1">
      <alignment horizontal="right" vertical="center" wrapText="1"/>
    </xf>
    <xf numFmtId="3" fontId="19" fillId="0" borderId="15" xfId="132" applyNumberFormat="1" applyFont="1" applyFill="1" applyBorder="1" applyAlignment="1">
      <alignment horizontal="center" vertical="center" wrapText="1"/>
    </xf>
    <xf numFmtId="165" fontId="20" fillId="0" borderId="15" xfId="132" applyNumberFormat="1" applyFont="1" applyFill="1" applyBorder="1" applyAlignment="1">
      <alignment horizontal="center" vertical="top" wrapText="1"/>
    </xf>
    <xf numFmtId="167" fontId="19" fillId="0" borderId="15" xfId="0" applyNumberFormat="1" applyFont="1" applyFill="1" applyBorder="1" applyAlignment="1">
      <alignment horizontal="right" vertical="center" wrapText="1"/>
    </xf>
    <xf numFmtId="168" fontId="20" fillId="0" borderId="0" xfId="132" applyNumberFormat="1" applyFont="1" applyFill="1" applyBorder="1" applyAlignment="1">
      <alignment horizontal="center" vertical="center" wrapText="1"/>
    </xf>
    <xf numFmtId="168" fontId="19" fillId="0" borderId="0" xfId="132" applyNumberFormat="1" applyFont="1" applyFill="1" applyBorder="1"/>
    <xf numFmtId="169" fontId="33" fillId="0" borderId="0" xfId="132" applyNumberFormat="1" applyFont="1" applyFill="1"/>
    <xf numFmtId="165" fontId="34" fillId="0" borderId="17" xfId="0" applyNumberFormat="1" applyFont="1" applyBorder="1" applyAlignment="1">
      <alignment horizontal="center" vertical="center"/>
    </xf>
    <xf numFmtId="167" fontId="35" fillId="0" borderId="2" xfId="0" applyNumberFormat="1" applyFont="1" applyFill="1" applyBorder="1" applyAlignment="1">
      <alignment horizontal="right" vertical="center" wrapText="1"/>
    </xf>
    <xf numFmtId="0" fontId="20" fillId="0" borderId="0" xfId="132" applyFont="1" applyFill="1" applyAlignment="1">
      <alignment horizontal="center" vertical="center" wrapText="1"/>
    </xf>
    <xf numFmtId="0" fontId="29" fillId="0" borderId="0" xfId="132" applyFont="1" applyFill="1" applyAlignment="1">
      <alignment horizontal="left" wrapText="1"/>
    </xf>
    <xf numFmtId="0" fontId="20" fillId="0" borderId="0" xfId="132" applyFont="1" applyAlignment="1">
      <alignment horizontal="center" vertical="top" wrapText="1"/>
    </xf>
    <xf numFmtId="0" fontId="19" fillId="19" borderId="10" xfId="132" applyFont="1" applyFill="1" applyBorder="1" applyAlignment="1">
      <alignment horizontal="center"/>
    </xf>
  </cellXfs>
  <cellStyles count="404">
    <cellStyle name="2" xfId="384"/>
    <cellStyle name="3" xfId="383"/>
    <cellStyle name="xl101" xfId="1"/>
    <cellStyle name="xl56" xfId="2"/>
    <cellStyle name="xl57" xfId="3"/>
    <cellStyle name="xl60" xfId="4"/>
    <cellStyle name="Данные (редактируемые)" xfId="5"/>
    <cellStyle name="Данные (редактируемые) 2" xfId="6"/>
    <cellStyle name="Данные (только для чтения)" xfId="7"/>
    <cellStyle name="Данные (только для чтения) 2" xfId="8"/>
    <cellStyle name="Данные для удаления" xfId="9"/>
    <cellStyle name="Данные для удаления 2" xfId="10"/>
    <cellStyle name="Заголовки полей" xfId="11"/>
    <cellStyle name="Заголовки полей [печать]" xfId="12"/>
    <cellStyle name="Заголовки полей [печать] 2" xfId="13"/>
    <cellStyle name="Заголовки полей 10" xfId="14"/>
    <cellStyle name="Заголовки полей 11" xfId="15"/>
    <cellStyle name="Заголовки полей 12" xfId="16"/>
    <cellStyle name="Заголовки полей 13" xfId="17"/>
    <cellStyle name="Заголовки полей 14" xfId="18"/>
    <cellStyle name="Заголовки полей 15" xfId="19"/>
    <cellStyle name="Заголовки полей 16" xfId="20"/>
    <cellStyle name="Заголовки полей 17" xfId="21"/>
    <cellStyle name="Заголовки полей 18" xfId="22"/>
    <cellStyle name="Заголовки полей 19" xfId="23"/>
    <cellStyle name="Заголовки полей 2" xfId="24"/>
    <cellStyle name="Заголовки полей 20" xfId="25"/>
    <cellStyle name="Заголовки полей 21" xfId="26"/>
    <cellStyle name="Заголовки полей 22" xfId="27"/>
    <cellStyle name="Заголовки полей 23" xfId="28"/>
    <cellStyle name="Заголовки полей 24" xfId="29"/>
    <cellStyle name="Заголовки полей 25" xfId="30"/>
    <cellStyle name="Заголовки полей 26" xfId="31"/>
    <cellStyle name="Заголовки полей 27" xfId="32"/>
    <cellStyle name="Заголовки полей 28" xfId="33"/>
    <cellStyle name="Заголовки полей 29" xfId="34"/>
    <cellStyle name="Заголовки полей 3" xfId="35"/>
    <cellStyle name="Заголовки полей 30" xfId="36"/>
    <cellStyle name="Заголовки полей 31" xfId="37"/>
    <cellStyle name="Заголовки полей 32" xfId="38"/>
    <cellStyle name="Заголовки полей 33" xfId="39"/>
    <cellStyle name="Заголовки полей 34" xfId="40"/>
    <cellStyle name="Заголовки полей 35" xfId="41"/>
    <cellStyle name="Заголовки полей 36" xfId="42"/>
    <cellStyle name="Заголовки полей 37" xfId="43"/>
    <cellStyle name="Заголовки полей 38" xfId="44"/>
    <cellStyle name="Заголовки полей 39" xfId="45"/>
    <cellStyle name="Заголовки полей 4" xfId="46"/>
    <cellStyle name="Заголовки полей 40" xfId="47"/>
    <cellStyle name="Заголовки полей 41" xfId="48"/>
    <cellStyle name="Заголовки полей 42" xfId="49"/>
    <cellStyle name="Заголовки полей 43" xfId="50"/>
    <cellStyle name="Заголовки полей 44" xfId="51"/>
    <cellStyle name="Заголовки полей 45" xfId="52"/>
    <cellStyle name="Заголовки полей 46" xfId="53"/>
    <cellStyle name="Заголовки полей 47" xfId="54"/>
    <cellStyle name="Заголовки полей 48" xfId="55"/>
    <cellStyle name="Заголовки полей 5" xfId="56"/>
    <cellStyle name="Заголовки полей 6" xfId="57"/>
    <cellStyle name="Заголовки полей 7" xfId="58"/>
    <cellStyle name="Заголовки полей 8" xfId="59"/>
    <cellStyle name="Заголовки полей 9" xfId="60"/>
    <cellStyle name="Заголовок меры" xfId="61"/>
    <cellStyle name="Заголовок меры 2" xfId="62"/>
    <cellStyle name="Заголовок показателя [печать]" xfId="63"/>
    <cellStyle name="Заголовок показателя [печать] 2" xfId="64"/>
    <cellStyle name="Заголовок показателя константы" xfId="65"/>
    <cellStyle name="Заголовок показателя константы 2" xfId="66"/>
    <cellStyle name="Заголовок результата расчета" xfId="67"/>
    <cellStyle name="Заголовок результата расчета 2" xfId="68"/>
    <cellStyle name="Заголовок свободного показателя" xfId="69"/>
    <cellStyle name="Заголовок свободного показателя 2" xfId="70"/>
    <cellStyle name="Значение фильтра" xfId="71"/>
    <cellStyle name="Значение фильтра [печать]" xfId="72"/>
    <cellStyle name="Значение фильтра [печать] 2" xfId="73"/>
    <cellStyle name="Значение фильтра 10" xfId="74"/>
    <cellStyle name="Значение фильтра 11" xfId="75"/>
    <cellStyle name="Значение фильтра 12" xfId="76"/>
    <cellStyle name="Значение фильтра 13" xfId="77"/>
    <cellStyle name="Значение фильтра 14" xfId="78"/>
    <cellStyle name="Значение фильтра 15" xfId="79"/>
    <cellStyle name="Значение фильтра 16" xfId="80"/>
    <cellStyle name="Значение фильтра 17" xfId="81"/>
    <cellStyle name="Значение фильтра 18" xfId="82"/>
    <cellStyle name="Значение фильтра 19" xfId="83"/>
    <cellStyle name="Значение фильтра 2" xfId="84"/>
    <cellStyle name="Значение фильтра 20" xfId="85"/>
    <cellStyle name="Значение фильтра 21" xfId="86"/>
    <cellStyle name="Значение фильтра 22" xfId="87"/>
    <cellStyle name="Значение фильтра 23" xfId="88"/>
    <cellStyle name="Значение фильтра 24" xfId="89"/>
    <cellStyle name="Значение фильтра 25" xfId="90"/>
    <cellStyle name="Значение фильтра 26" xfId="91"/>
    <cellStyle name="Значение фильтра 27" xfId="92"/>
    <cellStyle name="Значение фильтра 28" xfId="93"/>
    <cellStyle name="Значение фильтра 29" xfId="94"/>
    <cellStyle name="Значение фильтра 3" xfId="95"/>
    <cellStyle name="Значение фильтра 30" xfId="96"/>
    <cellStyle name="Значение фильтра 31" xfId="97"/>
    <cellStyle name="Значение фильтра 32" xfId="98"/>
    <cellStyle name="Значение фильтра 33" xfId="99"/>
    <cellStyle name="Значение фильтра 34" xfId="100"/>
    <cellStyle name="Значение фильтра 35" xfId="101"/>
    <cellStyle name="Значение фильтра 36" xfId="102"/>
    <cellStyle name="Значение фильтра 37" xfId="103"/>
    <cellStyle name="Значение фильтра 38" xfId="104"/>
    <cellStyle name="Значение фильтра 39" xfId="105"/>
    <cellStyle name="Значение фильтра 4" xfId="106"/>
    <cellStyle name="Значение фильтра 40" xfId="107"/>
    <cellStyle name="Значение фильтра 41" xfId="108"/>
    <cellStyle name="Значение фильтра 42" xfId="109"/>
    <cellStyle name="Значение фильтра 43" xfId="110"/>
    <cellStyle name="Значение фильтра 44" xfId="111"/>
    <cellStyle name="Значение фильтра 45" xfId="112"/>
    <cellStyle name="Значение фильтра 46" xfId="113"/>
    <cellStyle name="Значение фильтра 47" xfId="114"/>
    <cellStyle name="Значение фильтра 48" xfId="115"/>
    <cellStyle name="Значение фильтра 5" xfId="116"/>
    <cellStyle name="Значение фильтра 6" xfId="117"/>
    <cellStyle name="Значение фильтра 7" xfId="118"/>
    <cellStyle name="Значение фильтра 8" xfId="119"/>
    <cellStyle name="Значение фильтра 9" xfId="120"/>
    <cellStyle name="Информация о задаче" xfId="121"/>
    <cellStyle name="Информация о задаче 2" xfId="122"/>
    <cellStyle name="Обычный" xfId="0" builtinId="0"/>
    <cellStyle name="Обычный 18" xfId="385"/>
    <cellStyle name="Обычный 2" xfId="123"/>
    <cellStyle name="Обычный 2 10" xfId="393"/>
    <cellStyle name="Обычный 2 11" xfId="394"/>
    <cellStyle name="Обычный 2 12" xfId="395"/>
    <cellStyle name="Обычный 2 13" xfId="396"/>
    <cellStyle name="Обычный 2 14" xfId="397"/>
    <cellStyle name="Обычный 2 15" xfId="398"/>
    <cellStyle name="Обычный 2 16" xfId="399"/>
    <cellStyle name="Обычный 2 17" xfId="400"/>
    <cellStyle name="Обычный 2 18" xfId="401"/>
    <cellStyle name="Обычный 2 19" xfId="402"/>
    <cellStyle name="Обычный 2 2" xfId="124"/>
    <cellStyle name="Обычный 2 20" xfId="403"/>
    <cellStyle name="Обычный 2 3" xfId="125"/>
    <cellStyle name="Обычный 2 4" xfId="387"/>
    <cellStyle name="Обычный 2 5" xfId="388"/>
    <cellStyle name="Обычный 2 6" xfId="389"/>
    <cellStyle name="Обычный 2 7" xfId="390"/>
    <cellStyle name="Обычный 2 8" xfId="391"/>
    <cellStyle name="Обычный 2 9" xfId="392"/>
    <cellStyle name="Обычный 204" xfId="126"/>
    <cellStyle name="Обычный 205" xfId="127"/>
    <cellStyle name="Обычный 206" xfId="128"/>
    <cellStyle name="Обычный 3" xfId="386"/>
    <cellStyle name="Обычный 3 2" xfId="129"/>
    <cellStyle name="Обычный 53 2" xfId="130"/>
    <cellStyle name="Обычный 99" xfId="131"/>
    <cellStyle name="Обычный_Исп бюджРК9мес2005" xfId="132"/>
    <cellStyle name="Отдельная ячейка" xfId="133"/>
    <cellStyle name="Отдельная ячейка - константа" xfId="134"/>
    <cellStyle name="Отдельная ячейка - константа [печать]" xfId="135"/>
    <cellStyle name="Отдельная ячейка - константа [печать] 2" xfId="136"/>
    <cellStyle name="Отдельная ячейка - константа 10" xfId="137"/>
    <cellStyle name="Отдельная ячейка - константа 11" xfId="138"/>
    <cellStyle name="Отдельная ячейка - константа 12" xfId="139"/>
    <cellStyle name="Отдельная ячейка - константа 13" xfId="140"/>
    <cellStyle name="Отдельная ячейка - константа 14" xfId="141"/>
    <cellStyle name="Отдельная ячейка - константа 15" xfId="142"/>
    <cellStyle name="Отдельная ячейка - константа 16" xfId="143"/>
    <cellStyle name="Отдельная ячейка - константа 17" xfId="144"/>
    <cellStyle name="Отдельная ячейка - константа 18" xfId="145"/>
    <cellStyle name="Отдельная ячейка - константа 19" xfId="146"/>
    <cellStyle name="Отдельная ячейка - константа 2" xfId="147"/>
    <cellStyle name="Отдельная ячейка - константа 20" xfId="148"/>
    <cellStyle name="Отдельная ячейка - константа 21" xfId="149"/>
    <cellStyle name="Отдельная ячейка - константа 22" xfId="150"/>
    <cellStyle name="Отдельная ячейка - константа 23" xfId="151"/>
    <cellStyle name="Отдельная ячейка - константа 24" xfId="152"/>
    <cellStyle name="Отдельная ячейка - константа 25" xfId="153"/>
    <cellStyle name="Отдельная ячейка - константа 26" xfId="154"/>
    <cellStyle name="Отдельная ячейка - константа 27" xfId="155"/>
    <cellStyle name="Отдельная ячейка - константа 28" xfId="156"/>
    <cellStyle name="Отдельная ячейка - константа 29" xfId="157"/>
    <cellStyle name="Отдельная ячейка - константа 3" xfId="158"/>
    <cellStyle name="Отдельная ячейка - константа 30" xfId="159"/>
    <cellStyle name="Отдельная ячейка - константа 31" xfId="160"/>
    <cellStyle name="Отдельная ячейка - константа 32" xfId="161"/>
    <cellStyle name="Отдельная ячейка - константа 33" xfId="162"/>
    <cellStyle name="Отдельная ячейка - константа 34" xfId="163"/>
    <cellStyle name="Отдельная ячейка - константа 35" xfId="164"/>
    <cellStyle name="Отдельная ячейка - константа 36" xfId="165"/>
    <cellStyle name="Отдельная ячейка - константа 37" xfId="166"/>
    <cellStyle name="Отдельная ячейка - константа 38" xfId="167"/>
    <cellStyle name="Отдельная ячейка - константа 39" xfId="168"/>
    <cellStyle name="Отдельная ячейка - константа 4" xfId="169"/>
    <cellStyle name="Отдельная ячейка - константа 40" xfId="170"/>
    <cellStyle name="Отдельная ячейка - константа 41" xfId="171"/>
    <cellStyle name="Отдельная ячейка - константа 42" xfId="172"/>
    <cellStyle name="Отдельная ячейка - константа 43" xfId="173"/>
    <cellStyle name="Отдельная ячейка - константа 44" xfId="174"/>
    <cellStyle name="Отдельная ячейка - константа 45" xfId="175"/>
    <cellStyle name="Отдельная ячейка - константа 46" xfId="176"/>
    <cellStyle name="Отдельная ячейка - константа 47" xfId="177"/>
    <cellStyle name="Отдельная ячейка - константа 48" xfId="178"/>
    <cellStyle name="Отдельная ячейка - константа 5" xfId="179"/>
    <cellStyle name="Отдельная ячейка - константа 6" xfId="180"/>
    <cellStyle name="Отдельная ячейка - константа 7" xfId="181"/>
    <cellStyle name="Отдельная ячейка - константа 8" xfId="182"/>
    <cellStyle name="Отдельная ячейка - константа 9" xfId="183"/>
    <cellStyle name="Отдельная ячейка [печать]" xfId="184"/>
    <cellStyle name="Отдельная ячейка [печать] 2" xfId="185"/>
    <cellStyle name="Отдельная ячейка 10" xfId="186"/>
    <cellStyle name="Отдельная ячейка 11" xfId="187"/>
    <cellStyle name="Отдельная ячейка 12" xfId="188"/>
    <cellStyle name="Отдельная ячейка 13" xfId="189"/>
    <cellStyle name="Отдельная ячейка 14" xfId="190"/>
    <cellStyle name="Отдельная ячейка 15" xfId="191"/>
    <cellStyle name="Отдельная ячейка 16" xfId="192"/>
    <cellStyle name="Отдельная ячейка 17" xfId="193"/>
    <cellStyle name="Отдельная ячейка 18" xfId="194"/>
    <cellStyle name="Отдельная ячейка 19" xfId="195"/>
    <cellStyle name="Отдельная ячейка 2" xfId="196"/>
    <cellStyle name="Отдельная ячейка 20" xfId="197"/>
    <cellStyle name="Отдельная ячейка 21" xfId="198"/>
    <cellStyle name="Отдельная ячейка 22" xfId="199"/>
    <cellStyle name="Отдельная ячейка 23" xfId="200"/>
    <cellStyle name="Отдельная ячейка 24" xfId="201"/>
    <cellStyle name="Отдельная ячейка 25" xfId="202"/>
    <cellStyle name="Отдельная ячейка 26" xfId="203"/>
    <cellStyle name="Отдельная ячейка 27" xfId="204"/>
    <cellStyle name="Отдельная ячейка 28" xfId="205"/>
    <cellStyle name="Отдельная ячейка 29" xfId="206"/>
    <cellStyle name="Отдельная ячейка 3" xfId="207"/>
    <cellStyle name="Отдельная ячейка 30" xfId="208"/>
    <cellStyle name="Отдельная ячейка 31" xfId="209"/>
    <cellStyle name="Отдельная ячейка 32" xfId="210"/>
    <cellStyle name="Отдельная ячейка 33" xfId="211"/>
    <cellStyle name="Отдельная ячейка 34" xfId="212"/>
    <cellStyle name="Отдельная ячейка 35" xfId="213"/>
    <cellStyle name="Отдельная ячейка 36" xfId="214"/>
    <cellStyle name="Отдельная ячейка 37" xfId="215"/>
    <cellStyle name="Отдельная ячейка 38" xfId="216"/>
    <cellStyle name="Отдельная ячейка 39" xfId="217"/>
    <cellStyle name="Отдельная ячейка 4" xfId="218"/>
    <cellStyle name="Отдельная ячейка 40" xfId="219"/>
    <cellStyle name="Отдельная ячейка 41" xfId="220"/>
    <cellStyle name="Отдельная ячейка 42" xfId="221"/>
    <cellStyle name="Отдельная ячейка 43" xfId="222"/>
    <cellStyle name="Отдельная ячейка 44" xfId="223"/>
    <cellStyle name="Отдельная ячейка 45" xfId="224"/>
    <cellStyle name="Отдельная ячейка 46" xfId="225"/>
    <cellStyle name="Отдельная ячейка 47" xfId="226"/>
    <cellStyle name="Отдельная ячейка 48" xfId="227"/>
    <cellStyle name="Отдельная ячейка 5" xfId="228"/>
    <cellStyle name="Отдельная ячейка 6" xfId="229"/>
    <cellStyle name="Отдельная ячейка 7" xfId="230"/>
    <cellStyle name="Отдельная ячейка 8" xfId="231"/>
    <cellStyle name="Отдельная ячейка 9" xfId="232"/>
    <cellStyle name="Отдельная ячейка-результат" xfId="233"/>
    <cellStyle name="Отдельная ячейка-результат [печать]" xfId="234"/>
    <cellStyle name="Отдельная ячейка-результат [печать] 2" xfId="235"/>
    <cellStyle name="Отдельная ячейка-результат 10" xfId="236"/>
    <cellStyle name="Отдельная ячейка-результат 11" xfId="237"/>
    <cellStyle name="Отдельная ячейка-результат 12" xfId="238"/>
    <cellStyle name="Отдельная ячейка-результат 13" xfId="239"/>
    <cellStyle name="Отдельная ячейка-результат 14" xfId="240"/>
    <cellStyle name="Отдельная ячейка-результат 15" xfId="241"/>
    <cellStyle name="Отдельная ячейка-результат 16" xfId="242"/>
    <cellStyle name="Отдельная ячейка-результат 17" xfId="243"/>
    <cellStyle name="Отдельная ячейка-результат 18" xfId="244"/>
    <cellStyle name="Отдельная ячейка-результат 19" xfId="245"/>
    <cellStyle name="Отдельная ячейка-результат 2" xfId="246"/>
    <cellStyle name="Отдельная ячейка-результат 20" xfId="247"/>
    <cellStyle name="Отдельная ячейка-результат 21" xfId="248"/>
    <cellStyle name="Отдельная ячейка-результат 22" xfId="249"/>
    <cellStyle name="Отдельная ячейка-результат 23" xfId="250"/>
    <cellStyle name="Отдельная ячейка-результат 24" xfId="251"/>
    <cellStyle name="Отдельная ячейка-результат 25" xfId="252"/>
    <cellStyle name="Отдельная ячейка-результат 26" xfId="253"/>
    <cellStyle name="Отдельная ячейка-результат 27" xfId="254"/>
    <cellStyle name="Отдельная ячейка-результат 28" xfId="255"/>
    <cellStyle name="Отдельная ячейка-результат 29" xfId="256"/>
    <cellStyle name="Отдельная ячейка-результат 3" xfId="257"/>
    <cellStyle name="Отдельная ячейка-результат 30" xfId="258"/>
    <cellStyle name="Отдельная ячейка-результат 31" xfId="259"/>
    <cellStyle name="Отдельная ячейка-результат 32" xfId="260"/>
    <cellStyle name="Отдельная ячейка-результат 33" xfId="261"/>
    <cellStyle name="Отдельная ячейка-результат 34" xfId="262"/>
    <cellStyle name="Отдельная ячейка-результат 35" xfId="263"/>
    <cellStyle name="Отдельная ячейка-результат 36" xfId="264"/>
    <cellStyle name="Отдельная ячейка-результат 37" xfId="265"/>
    <cellStyle name="Отдельная ячейка-результат 38" xfId="266"/>
    <cellStyle name="Отдельная ячейка-результат 39" xfId="267"/>
    <cellStyle name="Отдельная ячейка-результат 4" xfId="268"/>
    <cellStyle name="Отдельная ячейка-результат 40" xfId="269"/>
    <cellStyle name="Отдельная ячейка-результат 41" xfId="270"/>
    <cellStyle name="Отдельная ячейка-результат 42" xfId="271"/>
    <cellStyle name="Отдельная ячейка-результат 43" xfId="272"/>
    <cellStyle name="Отдельная ячейка-результат 44" xfId="273"/>
    <cellStyle name="Отдельная ячейка-результат 45" xfId="274"/>
    <cellStyle name="Отдельная ячейка-результат 46" xfId="275"/>
    <cellStyle name="Отдельная ячейка-результат 47" xfId="276"/>
    <cellStyle name="Отдельная ячейка-результат 48" xfId="277"/>
    <cellStyle name="Отдельная ячейка-результат 5" xfId="278"/>
    <cellStyle name="Отдельная ячейка-результат 6" xfId="279"/>
    <cellStyle name="Отдельная ячейка-результат 7" xfId="280"/>
    <cellStyle name="Отдельная ячейка-результат 8" xfId="281"/>
    <cellStyle name="Отдельная ячейка-результат 9" xfId="282"/>
    <cellStyle name="Свойства элементов измерения" xfId="283"/>
    <cellStyle name="Свойства элементов измерения [печать]" xfId="284"/>
    <cellStyle name="Свойства элементов измерения [печать] 2" xfId="285"/>
    <cellStyle name="Свойства элементов измерения 10" xfId="286"/>
    <cellStyle name="Свойства элементов измерения 11" xfId="287"/>
    <cellStyle name="Свойства элементов измерения 12" xfId="288"/>
    <cellStyle name="Свойства элементов измерения 13" xfId="289"/>
    <cellStyle name="Свойства элементов измерения 14" xfId="290"/>
    <cellStyle name="Свойства элементов измерения 15" xfId="291"/>
    <cellStyle name="Свойства элементов измерения 16" xfId="292"/>
    <cellStyle name="Свойства элементов измерения 17" xfId="293"/>
    <cellStyle name="Свойства элементов измерения 18" xfId="294"/>
    <cellStyle name="Свойства элементов измерения 19" xfId="295"/>
    <cellStyle name="Свойства элементов измерения 2" xfId="296"/>
    <cellStyle name="Свойства элементов измерения 20" xfId="297"/>
    <cellStyle name="Свойства элементов измерения 21" xfId="298"/>
    <cellStyle name="Свойства элементов измерения 22" xfId="299"/>
    <cellStyle name="Свойства элементов измерения 23" xfId="300"/>
    <cellStyle name="Свойства элементов измерения 24" xfId="301"/>
    <cellStyle name="Свойства элементов измерения 25" xfId="302"/>
    <cellStyle name="Свойства элементов измерения 26" xfId="303"/>
    <cellStyle name="Свойства элементов измерения 27" xfId="304"/>
    <cellStyle name="Свойства элементов измерения 28" xfId="305"/>
    <cellStyle name="Свойства элементов измерения 29" xfId="306"/>
    <cellStyle name="Свойства элементов измерения 3" xfId="307"/>
    <cellStyle name="Свойства элементов измерения 30" xfId="308"/>
    <cellStyle name="Свойства элементов измерения 31" xfId="309"/>
    <cellStyle name="Свойства элементов измерения 32" xfId="310"/>
    <cellStyle name="Свойства элементов измерения 33" xfId="311"/>
    <cellStyle name="Свойства элементов измерения 34" xfId="312"/>
    <cellStyle name="Свойства элементов измерения 35" xfId="313"/>
    <cellStyle name="Свойства элементов измерения 36" xfId="314"/>
    <cellStyle name="Свойства элементов измерения 37" xfId="315"/>
    <cellStyle name="Свойства элементов измерения 38" xfId="316"/>
    <cellStyle name="Свойства элементов измерения 39" xfId="317"/>
    <cellStyle name="Свойства элементов измерения 4" xfId="318"/>
    <cellStyle name="Свойства элементов измерения 40" xfId="319"/>
    <cellStyle name="Свойства элементов измерения 41" xfId="320"/>
    <cellStyle name="Свойства элементов измерения 42" xfId="321"/>
    <cellStyle name="Свойства элементов измерения 43" xfId="322"/>
    <cellStyle name="Свойства элементов измерения 44" xfId="323"/>
    <cellStyle name="Свойства элементов измерения 45" xfId="324"/>
    <cellStyle name="Свойства элементов измерения 46" xfId="325"/>
    <cellStyle name="Свойства элементов измерения 47" xfId="326"/>
    <cellStyle name="Свойства элементов измерения 48" xfId="327"/>
    <cellStyle name="Свойства элементов измерения 5" xfId="328"/>
    <cellStyle name="Свойства элементов измерения 6" xfId="329"/>
    <cellStyle name="Свойства элементов измерения 7" xfId="330"/>
    <cellStyle name="Свойства элементов измерения 8" xfId="331"/>
    <cellStyle name="Свойства элементов измерения 9" xfId="332"/>
    <cellStyle name="Элементы осей" xfId="333"/>
    <cellStyle name="Элементы осей [печать]" xfId="334"/>
    <cellStyle name="Элементы осей [печать] 2" xfId="335"/>
    <cellStyle name="Элементы осей 10" xfId="336"/>
    <cellStyle name="Элементы осей 11" xfId="337"/>
    <cellStyle name="Элементы осей 12" xfId="338"/>
    <cellStyle name="Элементы осей 13" xfId="339"/>
    <cellStyle name="Элементы осей 14" xfId="340"/>
    <cellStyle name="Элементы осей 15" xfId="341"/>
    <cellStyle name="Элементы осей 16" xfId="342"/>
    <cellStyle name="Элементы осей 17" xfId="343"/>
    <cellStyle name="Элементы осей 18" xfId="344"/>
    <cellStyle name="Элементы осей 19" xfId="345"/>
    <cellStyle name="Элементы осей 2" xfId="346"/>
    <cellStyle name="Элементы осей 20" xfId="347"/>
    <cellStyle name="Элементы осей 21" xfId="348"/>
    <cellStyle name="Элементы осей 22" xfId="349"/>
    <cellStyle name="Элементы осей 23" xfId="350"/>
    <cellStyle name="Элементы осей 24" xfId="351"/>
    <cellStyle name="Элементы осей 25" xfId="352"/>
    <cellStyle name="Элементы осей 26" xfId="353"/>
    <cellStyle name="Элементы осей 27" xfId="354"/>
    <cellStyle name="Элементы осей 28" xfId="355"/>
    <cellStyle name="Элементы осей 29" xfId="356"/>
    <cellStyle name="Элементы осей 3" xfId="357"/>
    <cellStyle name="Элементы осей 30" xfId="358"/>
    <cellStyle name="Элементы осей 31" xfId="359"/>
    <cellStyle name="Элементы осей 32" xfId="360"/>
    <cellStyle name="Элементы осей 33" xfId="361"/>
    <cellStyle name="Элементы осей 34" xfId="362"/>
    <cellStyle name="Элементы осей 35" xfId="363"/>
    <cellStyle name="Элементы осей 36" xfId="364"/>
    <cellStyle name="Элементы осей 37" xfId="365"/>
    <cellStyle name="Элементы осей 38" xfId="366"/>
    <cellStyle name="Элементы осей 39" xfId="367"/>
    <cellStyle name="Элементы осей 4" xfId="368"/>
    <cellStyle name="Элементы осей 40" xfId="369"/>
    <cellStyle name="Элементы осей 41" xfId="370"/>
    <cellStyle name="Элементы осей 42" xfId="371"/>
    <cellStyle name="Элементы осей 43" xfId="372"/>
    <cellStyle name="Элементы осей 44" xfId="373"/>
    <cellStyle name="Элементы осей 45" xfId="374"/>
    <cellStyle name="Элементы осей 46" xfId="375"/>
    <cellStyle name="Элементы осей 47" xfId="376"/>
    <cellStyle name="Элементы осей 48" xfId="377"/>
    <cellStyle name="Элементы осей 5" xfId="378"/>
    <cellStyle name="Элементы осей 6" xfId="379"/>
    <cellStyle name="Элементы осей 7" xfId="380"/>
    <cellStyle name="Элементы осей 8" xfId="381"/>
    <cellStyle name="Элементы осей 9" xfId="382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29" Type="http://schemas.openxmlformats.org/officeDocument/2006/relationships/revisionLog" Target="revisionLog29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31" Type="http://schemas.openxmlformats.org/officeDocument/2006/relationships/revisionLog" Target="revisionLog31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Relationship Id="rId8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E6DE3CB-75AB-4AC2-B1B2-521F83FD2564}" diskRevisions="1" revisionId="1000" version="9">
  <header guid="{91A64B5C-EA2F-440C-B326-31809EA9DD2F}" dateTime="2025-10-27T09:24:42" maxSheetId="8" userName="Мария С. Юнгина" r:id="rId1">
    <sheetIdMap count="7">
      <sheetId val="1"/>
      <sheetId val="2"/>
      <sheetId val="3"/>
      <sheetId val="4"/>
      <sheetId val="5"/>
      <sheetId val="6"/>
      <sheetId val="7"/>
    </sheetIdMap>
  </header>
  <header guid="{F07BCC37-DDD9-4795-A89B-8BF0CBB18B5C}" dateTime="2025-10-27T09:25:38" maxSheetId="8" userName="Мария С. Юнгина" r:id="rId2" minRId="1" maxRId="2">
    <sheetIdMap count="7">
      <sheetId val="1"/>
      <sheetId val="2"/>
      <sheetId val="3"/>
      <sheetId val="4"/>
      <sheetId val="5"/>
      <sheetId val="6"/>
      <sheetId val="7"/>
    </sheetIdMap>
  </header>
  <header guid="{5355B99E-2B54-45FE-8762-77818C4400DA}" dateTime="2025-10-27T09:36:19" maxSheetId="8" userName="Мария С. Юнгина" r:id="rId3" minRId="3" maxRId="10">
    <sheetIdMap count="7">
      <sheetId val="1"/>
      <sheetId val="2"/>
      <sheetId val="3"/>
      <sheetId val="4"/>
      <sheetId val="5"/>
      <sheetId val="6"/>
      <sheetId val="7"/>
    </sheetIdMap>
  </header>
  <header guid="{79AD6A6C-6F31-4F90-86D5-94B69B2134FD}" dateTime="2025-10-27T09:39:30" maxSheetId="8" userName="Мария С. Юнгина" r:id="rId4" minRId="11" maxRId="30">
    <sheetIdMap count="7">
      <sheetId val="1"/>
      <sheetId val="2"/>
      <sheetId val="3"/>
      <sheetId val="4"/>
      <sheetId val="5"/>
      <sheetId val="6"/>
      <sheetId val="7"/>
    </sheetIdMap>
  </header>
  <header guid="{EA4AE6A4-FD7E-4159-8CB0-C3B26810A633}" dateTime="2025-10-27T09:43:49" maxSheetId="8" userName="Мария С. Юнгина" r:id="rId5" minRId="31" maxRId="32">
    <sheetIdMap count="7">
      <sheetId val="1"/>
      <sheetId val="2"/>
      <sheetId val="3"/>
      <sheetId val="4"/>
      <sheetId val="5"/>
      <sheetId val="6"/>
      <sheetId val="7"/>
    </sheetIdMap>
  </header>
  <header guid="{C63A69D9-4A61-45CA-9543-789CB6ABD9A9}" dateTime="2025-10-27T09:45:19" maxSheetId="8" userName="Мария С. Юнгина" r:id="rId6" minRId="33" maxRId="34">
    <sheetIdMap count="7">
      <sheetId val="1"/>
      <sheetId val="2"/>
      <sheetId val="3"/>
      <sheetId val="4"/>
      <sheetId val="5"/>
      <sheetId val="6"/>
      <sheetId val="7"/>
    </sheetIdMap>
  </header>
  <header guid="{64B63DB6-E895-4199-BFBD-641D83AF786B}" dateTime="2025-10-27T09:45:54" maxSheetId="8" userName="Людмила Степанова" r:id="rId7" minRId="35" maxRId="130">
    <sheetIdMap count="7">
      <sheetId val="1"/>
      <sheetId val="2"/>
      <sheetId val="3"/>
      <sheetId val="4"/>
      <sheetId val="5"/>
      <sheetId val="6"/>
      <sheetId val="7"/>
    </sheetIdMap>
  </header>
  <header guid="{05644725-301F-4D83-8CCE-0D426C926688}" dateTime="2025-10-27T09:56:04" maxSheetId="8" userName="Людмила Степанова" r:id="rId8" minRId="151" maxRId="172">
    <sheetIdMap count="7">
      <sheetId val="1"/>
      <sheetId val="2"/>
      <sheetId val="3"/>
      <sheetId val="4"/>
      <sheetId val="5"/>
      <sheetId val="6"/>
      <sheetId val="7"/>
    </sheetIdMap>
  </header>
  <header guid="{9B690954-DEAA-40F8-98C5-1156BB8BDAC0}" dateTime="2025-10-27T12:11:51" maxSheetId="8" userName="Людмила Степанова" r:id="rId9" minRId="173" maxRId="335">
    <sheetIdMap count="7">
      <sheetId val="1"/>
      <sheetId val="2"/>
      <sheetId val="3"/>
      <sheetId val="4"/>
      <sheetId val="5"/>
      <sheetId val="6"/>
      <sheetId val="7"/>
    </sheetIdMap>
  </header>
  <header guid="{294F777C-6D88-4A8B-AF47-F940D5B35E0A}" dateTime="2025-10-27T12:18:38" maxSheetId="8" userName="Людмила Степанова" r:id="rId10" minRId="356" maxRId="375">
    <sheetIdMap count="7">
      <sheetId val="1"/>
      <sheetId val="2"/>
      <sheetId val="3"/>
      <sheetId val="4"/>
      <sheetId val="5"/>
      <sheetId val="6"/>
      <sheetId val="7"/>
    </sheetIdMap>
  </header>
  <header guid="{34E91DE3-6126-4569-BAC7-EA71FFA127BA}" dateTime="2025-10-27T12:38:56" maxSheetId="8" userName="Людмила Степанова" r:id="rId11" minRId="376" maxRId="400">
    <sheetIdMap count="7">
      <sheetId val="1"/>
      <sheetId val="2"/>
      <sheetId val="3"/>
      <sheetId val="4"/>
      <sheetId val="5"/>
      <sheetId val="6"/>
      <sheetId val="7"/>
    </sheetIdMap>
  </header>
  <header guid="{4E132EE9-4F95-4E35-A446-F3AB52FB7F4A}" dateTime="2025-10-27T12:54:57" maxSheetId="8" userName="Людмила Степанова" r:id="rId12" minRId="401" maxRId="402">
    <sheetIdMap count="7">
      <sheetId val="1"/>
      <sheetId val="2"/>
      <sheetId val="3"/>
      <sheetId val="4"/>
      <sheetId val="5"/>
      <sheetId val="6"/>
      <sheetId val="7"/>
    </sheetIdMap>
  </header>
  <header guid="{260D661A-EDAD-4472-AA5F-50F393E4D06C}" dateTime="2025-10-27T13:02:43" maxSheetId="8" userName="Людмила Степанова" r:id="rId13" minRId="423" maxRId="424">
    <sheetIdMap count="7">
      <sheetId val="1"/>
      <sheetId val="2"/>
      <sheetId val="3"/>
      <sheetId val="4"/>
      <sheetId val="5"/>
      <sheetId val="6"/>
      <sheetId val="7"/>
    </sheetIdMap>
  </header>
  <header guid="{71F2878F-8EED-4944-8858-16B1F382648E}" dateTime="2025-10-27T13:21:59" maxSheetId="8" userName="Людмила Степанова" r:id="rId14" minRId="425" maxRId="476">
    <sheetIdMap count="7">
      <sheetId val="1"/>
      <sheetId val="2"/>
      <sheetId val="3"/>
      <sheetId val="4"/>
      <sheetId val="5"/>
      <sheetId val="6"/>
      <sheetId val="7"/>
    </sheetIdMap>
  </header>
  <header guid="{6A8F972F-2035-4789-AEC4-C436F1343E57}" dateTime="2025-10-27T13:22:07" maxSheetId="8" userName="Людмила Степанова" r:id="rId15">
    <sheetIdMap count="7">
      <sheetId val="1"/>
      <sheetId val="2"/>
      <sheetId val="3"/>
      <sheetId val="4"/>
      <sheetId val="5"/>
      <sheetId val="6"/>
      <sheetId val="7"/>
    </sheetIdMap>
  </header>
  <header guid="{E96A1E85-18C4-4490-93DF-04727818102D}" dateTime="2025-10-27T17:11:21" maxSheetId="8" userName="Людмила Степанова" r:id="rId16" minRId="497" maxRId="627">
    <sheetIdMap count="7">
      <sheetId val="1"/>
      <sheetId val="2"/>
      <sheetId val="3"/>
      <sheetId val="4"/>
      <sheetId val="5"/>
      <sheetId val="6"/>
      <sheetId val="7"/>
    </sheetIdMap>
  </header>
  <header guid="{01038E14-93AE-4B94-AD48-72A07042768B}" dateTime="2025-10-27T17:11:50" maxSheetId="8" userName="Людмила Степанова" r:id="rId17">
    <sheetIdMap count="7">
      <sheetId val="1"/>
      <sheetId val="2"/>
      <sheetId val="3"/>
      <sheetId val="4"/>
      <sheetId val="5"/>
      <sheetId val="6"/>
      <sheetId val="7"/>
    </sheetIdMap>
  </header>
  <header guid="{018C5976-B20B-4D44-BFE9-FD663F351949}" dateTime="2025-10-27T17:11:56" maxSheetId="8" userName="Людмила Степанова" r:id="rId18">
    <sheetIdMap count="7">
      <sheetId val="1"/>
      <sheetId val="2"/>
      <sheetId val="3"/>
      <sheetId val="4"/>
      <sheetId val="5"/>
      <sheetId val="6"/>
      <sheetId val="7"/>
    </sheetIdMap>
  </header>
  <header guid="{74592E09-2CA0-4EF5-A5E7-47E91D7763F2}" dateTime="2025-10-27T17:23:08" maxSheetId="8" userName="Людмила Степанова" r:id="rId19" minRId="669" maxRId="672">
    <sheetIdMap count="7">
      <sheetId val="1"/>
      <sheetId val="2"/>
      <sheetId val="3"/>
      <sheetId val="4"/>
      <sheetId val="5"/>
      <sheetId val="6"/>
      <sheetId val="7"/>
    </sheetIdMap>
  </header>
  <header guid="{6A1DA62D-CBA1-4EF3-8EEF-087019DD68BE}" dateTime="2025-10-27T17:29:03" maxSheetId="8" userName="Людмила Степанова" r:id="rId20" minRId="673" maxRId="675">
    <sheetIdMap count="7">
      <sheetId val="1"/>
      <sheetId val="2"/>
      <sheetId val="3"/>
      <sheetId val="4"/>
      <sheetId val="5"/>
      <sheetId val="6"/>
      <sheetId val="7"/>
    </sheetIdMap>
  </header>
  <header guid="{F2CB1906-1FF5-46CA-A29B-D9696D02C776}" dateTime="2025-10-27T17:30:21" maxSheetId="8" userName="Людмила Степанова" r:id="rId21" minRId="676">
    <sheetIdMap count="7">
      <sheetId val="1"/>
      <sheetId val="2"/>
      <sheetId val="3"/>
      <sheetId val="4"/>
      <sheetId val="5"/>
      <sheetId val="6"/>
      <sheetId val="7"/>
    </sheetIdMap>
  </header>
  <header guid="{AAEB158F-250B-4114-89B5-DC8C828C0520}" dateTime="2025-10-28T12:32:02" maxSheetId="8" userName="Людмила Степанова" r:id="rId22" minRId="699" maxRId="706">
    <sheetIdMap count="7">
      <sheetId val="1"/>
      <sheetId val="2"/>
      <sheetId val="3"/>
      <sheetId val="4"/>
      <sheetId val="5"/>
      <sheetId val="6"/>
      <sheetId val="7"/>
    </sheetIdMap>
  </header>
  <header guid="{FE130CFF-E87E-42B2-B94A-C1F4A56EDE4C}" dateTime="2025-10-28T12:48:48" maxSheetId="8" userName="Людмила Степанова" r:id="rId23" minRId="707" maxRId="711">
    <sheetIdMap count="7">
      <sheetId val="1"/>
      <sheetId val="2"/>
      <sheetId val="3"/>
      <sheetId val="4"/>
      <sheetId val="5"/>
      <sheetId val="6"/>
      <sheetId val="7"/>
    </sheetIdMap>
  </header>
  <header guid="{270A0AD4-51CD-4124-85B4-5215CAC1E92E}" dateTime="2025-10-28T14:16:10" maxSheetId="8" userName="Людмила Степанова" r:id="rId24" minRId="712" maxRId="714">
    <sheetIdMap count="7">
      <sheetId val="1"/>
      <sheetId val="2"/>
      <sheetId val="3"/>
      <sheetId val="4"/>
      <sheetId val="5"/>
      <sheetId val="6"/>
      <sheetId val="7"/>
    </sheetIdMap>
  </header>
  <header guid="{5BF1AB44-59FF-403C-8BC8-79F3C7B08CF2}" dateTime="2025-10-28T17:20:08" maxSheetId="8" userName="Людмила Степанова" r:id="rId25" minRId="715" maxRId="716">
    <sheetIdMap count="7">
      <sheetId val="1"/>
      <sheetId val="2"/>
      <sheetId val="3"/>
      <sheetId val="4"/>
      <sheetId val="5"/>
      <sheetId val="6"/>
      <sheetId val="7"/>
    </sheetIdMap>
  </header>
  <header guid="{F94B3AAD-FE80-4F2D-B42B-C449D0E92CFE}" dateTime="2025-10-29T11:09:10" maxSheetId="8" userName="Людмила Степанова" r:id="rId26">
    <sheetIdMap count="7">
      <sheetId val="1"/>
      <sheetId val="2"/>
      <sheetId val="3"/>
      <sheetId val="4"/>
      <sheetId val="5"/>
      <sheetId val="6"/>
      <sheetId val="7"/>
    </sheetIdMap>
  </header>
  <header guid="{964BEA53-58B8-410D-B0D5-E0F23E78816B}" dateTime="2025-10-29T11:09:59" maxSheetId="8" userName="Людмила Степанова" r:id="rId27" minRId="739" maxRId="740">
    <sheetIdMap count="7">
      <sheetId val="1"/>
      <sheetId val="2"/>
      <sheetId val="3"/>
      <sheetId val="4"/>
      <sheetId val="5"/>
      <sheetId val="6"/>
      <sheetId val="7"/>
    </sheetIdMap>
  </header>
  <header guid="{96F07314-D374-416A-9103-2F293A668483}" dateTime="2025-10-29T11:10:38" maxSheetId="8" userName="Людмила Степанова" r:id="rId28" minRId="762" maxRId="801">
    <sheetIdMap count="7">
      <sheetId val="1"/>
      <sheetId val="2"/>
      <sheetId val="3"/>
      <sheetId val="4"/>
      <sheetId val="5"/>
      <sheetId val="6"/>
      <sheetId val="7"/>
    </sheetIdMap>
  </header>
  <header guid="{BA695368-FFAA-4CAD-A5EC-BD8EC9B4F9D6}" dateTime="2025-10-29T11:40:14" maxSheetId="8" userName="Екатерина В. Эриксон" r:id="rId29" minRId="802" maxRId="831">
    <sheetIdMap count="7">
      <sheetId val="1"/>
      <sheetId val="2"/>
      <sheetId val="3"/>
      <sheetId val="4"/>
      <sheetId val="5"/>
      <sheetId val="6"/>
      <sheetId val="7"/>
    </sheetIdMap>
  </header>
  <header guid="{6862BA28-458A-4D60-B185-54C676DBDC95}" dateTime="2025-10-29T12:54:10" maxSheetId="8" userName="Екатерина В. Эриксон" r:id="rId30" minRId="853" maxRId="871">
    <sheetIdMap count="7">
      <sheetId val="1"/>
      <sheetId val="2"/>
      <sheetId val="3"/>
      <sheetId val="4"/>
      <sheetId val="5"/>
      <sheetId val="6"/>
      <sheetId val="7"/>
    </sheetIdMap>
  </header>
  <header guid="{D2587277-8DC6-4362-A4CE-962C175765C9}" dateTime="2025-10-29T17:07:18" maxSheetId="8" userName="Людмила Степанова" r:id="rId31" minRId="893" maxRId="938">
    <sheetIdMap count="7">
      <sheetId val="1"/>
      <sheetId val="2"/>
      <sheetId val="3"/>
      <sheetId val="4"/>
      <sheetId val="5"/>
      <sheetId val="6"/>
      <sheetId val="7"/>
    </sheetIdMap>
  </header>
  <header guid="{2DA0A962-2EBE-4B0D-A8DD-4770AE3810AF}" dateTime="2025-10-29T17:09:22" maxSheetId="8" userName="Людмила Степанова" r:id="rId32" minRId="980">
    <sheetIdMap count="7">
      <sheetId val="1"/>
      <sheetId val="2"/>
      <sheetId val="3"/>
      <sheetId val="4"/>
      <sheetId val="5"/>
      <sheetId val="6"/>
      <sheetId val="7"/>
    </sheetIdMap>
  </header>
  <header guid="{6E6DE3CB-75AB-4AC2-B1B2-521F83FD2564}" dateTime="2025-10-31T09:11:52" maxSheetId="8" userName="Людмила Степанова" r:id="rId33">
    <sheetIdMap count="7">
      <sheetId val="1"/>
      <sheetId val="2"/>
      <sheetId val="3"/>
      <sheetId val="4"/>
      <sheetId val="5"/>
      <sheetId val="6"/>
      <sheetId val="7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63" start="0" length="0">
    <dxf/>
  </rfmt>
  <rcc rId="356" sId="1" odxf="1" dxf="1">
    <nc r="C46">
      <f>C32+C5</f>
    </nc>
    <odxf/>
    <ndxf/>
  </rcc>
  <rcc rId="357" sId="1" numFmtId="4">
    <nc r="C48">
      <v>7695443.7000000002</v>
    </nc>
  </rcc>
  <rfmt sheetId="1" sqref="C49" start="0" length="0">
    <dxf>
      <font>
        <sz val="12"/>
        <color rgb="FF000000"/>
        <name val="Times New Roman"/>
        <scheme val="none"/>
      </font>
      <numFmt numFmtId="169" formatCode="[&gt;=0.005]#,##0.00;[Red][&lt;=-0.005]\-#,##0.00;#,##0.00"/>
      <fill>
        <patternFill patternType="none">
          <bgColor indexed="65"/>
        </patternFill>
      </fill>
      <alignment wrapText="0" readingOrder="0"/>
    </dxf>
  </rfmt>
  <rcc rId="358" sId="1" numFmtId="4">
    <nc r="C49">
      <v>30159.4</v>
    </nc>
  </rcc>
  <rfmt sheetId="1" sqref="C50" start="0" length="0">
    <dxf>
      <font>
        <sz val="12"/>
        <color rgb="FF000000"/>
        <name val="Times New Roman"/>
        <scheme val="none"/>
      </font>
      <numFmt numFmtId="169" formatCode="[&gt;=0.005]#,##0.00;[Red][&lt;=-0.005]\-#,##0.00;#,##0.00"/>
      <fill>
        <patternFill patternType="none">
          <bgColor indexed="65"/>
        </patternFill>
      </fill>
      <alignment wrapText="0" readingOrder="0"/>
    </dxf>
  </rfmt>
  <rcc rId="359" sId="1" numFmtId="4">
    <nc r="C50">
      <v>1175648.1000000001</v>
    </nc>
  </rcc>
  <rfmt sheetId="1" sqref="C51" start="0" length="0">
    <dxf>
      <font>
        <sz val="12"/>
        <color rgb="FF000000"/>
        <name val="Times New Roman"/>
        <scheme val="none"/>
      </font>
      <numFmt numFmtId="169" formatCode="[&gt;=0.005]#,##0.00;[Red][&lt;=-0.005]\-#,##0.00;#,##0.00"/>
      <fill>
        <patternFill patternType="none">
          <bgColor indexed="65"/>
        </patternFill>
      </fill>
      <alignment wrapText="0" readingOrder="0"/>
    </dxf>
  </rfmt>
  <rcc rId="360" sId="1" numFmtId="4">
    <nc r="C51">
      <v>15862650.800000001</v>
    </nc>
  </rcc>
  <rfmt sheetId="1" sqref="C52" start="0" length="0">
    <dxf>
      <font>
        <sz val="12"/>
        <color rgb="FF000000"/>
        <name val="Times New Roman"/>
        <scheme val="none"/>
      </font>
      <numFmt numFmtId="169" formatCode="[&gt;=0.005]#,##0.00;[Red][&lt;=-0.005]\-#,##0.00;#,##0.00"/>
      <alignment wrapText="0" readingOrder="0"/>
    </dxf>
  </rfmt>
  <rcc rId="361" sId="1" numFmtId="4">
    <nc r="C52">
      <v>9255041.0999999996</v>
    </nc>
  </rcc>
  <rfmt sheetId="1" sqref="C53" start="0" length="0">
    <dxf>
      <font>
        <sz val="12"/>
        <color rgb="FF000000"/>
        <name val="Times New Roman"/>
        <scheme val="none"/>
      </font>
      <numFmt numFmtId="169" formatCode="[&gt;=0.005]#,##0.00;[Red][&lt;=-0.005]\-#,##0.00;#,##0.00"/>
      <fill>
        <patternFill patternType="none">
          <bgColor indexed="65"/>
        </patternFill>
      </fill>
      <alignment wrapText="0" readingOrder="0"/>
    </dxf>
  </rfmt>
  <rcc rId="362" sId="1" numFmtId="4">
    <nc r="C53">
      <v>2193852.6</v>
    </nc>
  </rcc>
  <rfmt sheetId="1" sqref="C54" start="0" length="0">
    <dxf>
      <font>
        <sz val="12"/>
        <color rgb="FF000000"/>
        <name val="Times New Roman"/>
        <scheme val="none"/>
      </font>
      <numFmt numFmtId="169" formatCode="[&gt;=0.005]#,##0.00;[Red][&lt;=-0.005]\-#,##0.00;#,##0.00"/>
      <fill>
        <patternFill patternType="none">
          <bgColor indexed="65"/>
        </patternFill>
      </fill>
      <alignment wrapText="0" readingOrder="0"/>
    </dxf>
  </rfmt>
  <rcc rId="363" sId="1" numFmtId="4">
    <nc r="C54">
      <v>81715.7</v>
    </nc>
  </rcc>
  <rfmt sheetId="1" sqref="C55" start="0" length="0">
    <dxf>
      <numFmt numFmtId="169" formatCode="[&gt;=0.005]#,##0.00;[Red][&lt;=-0.005]\-#,##0.00;#,##0.00"/>
      <fill>
        <patternFill patternType="none">
          <bgColor indexed="65"/>
        </patternFill>
      </fill>
      <alignment wrapText="0" readingOrder="0"/>
    </dxf>
  </rfmt>
  <rcc rId="364" sId="1" numFmtId="4">
    <nc r="C55">
      <v>18095301.5</v>
    </nc>
  </rcc>
  <rfmt sheetId="1" sqref="C56" start="0" length="0">
    <dxf>
      <font>
        <sz val="12"/>
        <color rgb="FF000000"/>
        <name val="Times New Roman"/>
        <scheme val="none"/>
      </font>
      <numFmt numFmtId="169" formatCode="[&gt;=0.005]#,##0.00;[Red][&lt;=-0.005]\-#,##0.00;#,##0.00"/>
      <fill>
        <patternFill patternType="none">
          <bgColor indexed="65"/>
        </patternFill>
      </fill>
      <alignment wrapText="0" readingOrder="0"/>
    </dxf>
  </rfmt>
  <rcc rId="365" sId="1" numFmtId="4">
    <nc r="C56">
      <v>2051441.6</v>
    </nc>
  </rcc>
  <rfmt sheetId="1" sqref="C57" start="0" length="0">
    <dxf>
      <font>
        <sz val="12"/>
        <color rgb="FF000000"/>
        <name val="Times New Roman"/>
        <scheme val="none"/>
      </font>
      <numFmt numFmtId="169" formatCode="[&gt;=0.005]#,##0.00;[Red][&lt;=-0.005]\-#,##0.00;#,##0.00"/>
      <fill>
        <patternFill patternType="none">
          <bgColor indexed="65"/>
        </patternFill>
      </fill>
      <alignment wrapText="0" readingOrder="0"/>
    </dxf>
  </rfmt>
  <rcc rId="366" sId="1" numFmtId="4">
    <nc r="C57">
      <v>8771851</v>
    </nc>
  </rcc>
  <rfmt sheetId="1" sqref="C58" start="0" length="0">
    <dxf>
      <font>
        <sz val="12"/>
        <color rgb="FF000000"/>
        <name val="Times New Roman"/>
        <scheme val="none"/>
      </font>
      <numFmt numFmtId="169" formatCode="[&gt;=0.005]#,##0.00;[Red][&lt;=-0.005]\-#,##0.00;#,##0.00"/>
      <fill>
        <patternFill patternType="none">
          <bgColor indexed="65"/>
        </patternFill>
      </fill>
      <alignment wrapText="0" readingOrder="0"/>
    </dxf>
  </rfmt>
  <rcc rId="367" sId="1" numFmtId="4">
    <nc r="C58">
      <v>19585189.899999999</v>
    </nc>
  </rcc>
  <rfmt sheetId="1" sqref="C59" start="0" length="0">
    <dxf>
      <font>
        <sz val="12"/>
        <color rgb="FF000000"/>
        <name val="Times New Roman"/>
        <scheme val="none"/>
      </font>
      <numFmt numFmtId="169" formatCode="[&gt;=0.005]#,##0.00;[Red][&lt;=-0.005]\-#,##0.00;#,##0.00"/>
      <fill>
        <patternFill patternType="none">
          <bgColor indexed="65"/>
        </patternFill>
      </fill>
      <alignment wrapText="0" readingOrder="0"/>
    </dxf>
  </rfmt>
  <rcc rId="368" sId="1" numFmtId="4">
    <nc r="C59">
      <v>585342.1</v>
    </nc>
  </rcc>
  <rfmt sheetId="1" sqref="C60" start="0" length="0">
    <dxf>
      <font>
        <sz val="12"/>
        <color rgb="FF000000"/>
        <name val="Times New Roman"/>
        <scheme val="none"/>
      </font>
      <numFmt numFmtId="169" formatCode="[&gt;=0.005]#,##0.00;[Red][&lt;=-0.005]\-#,##0.00;#,##0.00"/>
      <fill>
        <patternFill patternType="none">
          <bgColor indexed="65"/>
        </patternFill>
      </fill>
      <alignment wrapText="0" readingOrder="0"/>
    </dxf>
  </rfmt>
  <rcc rId="369" sId="1" numFmtId="4">
    <nc r="C60">
      <v>286091.09999999998</v>
    </nc>
  </rcc>
  <rcc rId="370" sId="1" numFmtId="4">
    <nc r="C61">
      <v>2200000</v>
    </nc>
  </rcc>
  <rcc rId="371" sId="1" numFmtId="4">
    <nc r="C62">
      <v>1672572.3</v>
    </nc>
  </rcc>
  <rcc rId="372" sId="1">
    <nc r="C63">
      <f>SUM(C48:C62)-C52-0.1</f>
    </nc>
  </rcc>
  <rcc rId="373" sId="1" numFmtId="4">
    <oc r="E52">
      <v>9255041.0999999996</v>
    </oc>
    <nc r="E52">
      <f>9255041.1+200000</f>
    </nc>
  </rcc>
  <rcc rId="374" sId="1" numFmtId="4">
    <oc r="E51">
      <v>15724709.199999999</v>
    </oc>
    <nc r="E51">
      <f>15724709.2+200000</f>
    </nc>
  </rcc>
  <rcc rId="375" sId="1">
    <oc r="E74">
      <f>12801.7-355035.7</f>
    </oc>
    <nc r="E74">
      <f>12801.7-155035.7</f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="1" sqref="E7" start="0" length="0">
    <dxf>
      <font>
        <sz val="8"/>
        <color auto="1"/>
        <name val="Times New Roman"/>
        <scheme val="none"/>
      </font>
      <numFmt numFmtId="168" formatCode="#,##0.0_ ;\-#,##0.0\ "/>
      <fill>
        <patternFill patternType="solid">
          <bgColor rgb="FFFFFF00"/>
        </patternFill>
      </fill>
      <alignment vertical="center" wrapText="1" readingOrder="0"/>
    </dxf>
  </rfmt>
  <rfmt sheetId="1" s="1" sqref="E8" start="0" length="0">
    <dxf>
      <font>
        <sz val="8"/>
        <color auto="1"/>
        <name val="Times New Roman"/>
        <scheme val="none"/>
      </font>
      <numFmt numFmtId="168" formatCode="#,##0.0_ ;\-#,##0.0\ "/>
      <fill>
        <patternFill patternType="solid">
          <bgColor rgb="FFFFFF00"/>
        </patternFill>
      </fill>
      <alignment vertical="center" wrapText="1" readingOrder="0"/>
    </dxf>
  </rfmt>
  <rfmt sheetId="1" s="1" sqref="E10" start="0" length="0">
    <dxf>
      <font>
        <sz val="8"/>
        <color auto="1"/>
        <name val="Times New Roman"/>
        <scheme val="none"/>
      </font>
      <numFmt numFmtId="168" formatCode="#,##0.0_ ;\-#,##0.0\ "/>
      <fill>
        <patternFill patternType="solid">
          <bgColor rgb="FFFFFF00"/>
        </patternFill>
      </fill>
      <alignment vertical="center" wrapText="1" readingOrder="0"/>
    </dxf>
  </rfmt>
  <rfmt sheetId="1" s="1" sqref="E14" start="0" length="0">
    <dxf>
      <font>
        <sz val="8"/>
        <color auto="1"/>
        <name val="Times New Roman"/>
        <scheme val="none"/>
      </font>
      <numFmt numFmtId="168" formatCode="#,##0.0_ ;\-#,##0.0\ "/>
      <fill>
        <patternFill patternType="solid">
          <bgColor rgb="FFFFFF00"/>
        </patternFill>
      </fill>
      <alignment vertical="center" wrapText="1" readingOrder="0"/>
    </dxf>
  </rfmt>
  <rfmt sheetId="1" s="1" sqref="E15" start="0" length="0">
    <dxf>
      <font>
        <sz val="8"/>
        <color auto="1"/>
        <name val="Times New Roman"/>
        <scheme val="none"/>
      </font>
      <numFmt numFmtId="168" formatCode="#,##0.0_ ;\-#,##0.0\ "/>
      <fill>
        <patternFill patternType="solid">
          <bgColor rgb="FFFFFF00"/>
        </patternFill>
      </fill>
      <alignment vertical="center" wrapText="1" readingOrder="0"/>
    </dxf>
  </rfmt>
  <rfmt sheetId="1" s="1" sqref="E17" start="0" length="0">
    <dxf>
      <font>
        <sz val="8"/>
        <color auto="1"/>
        <name val="Times New Roman"/>
        <scheme val="none"/>
      </font>
      <numFmt numFmtId="168" formatCode="#,##0.0_ ;\-#,##0.0\ "/>
      <fill>
        <patternFill patternType="solid">
          <bgColor rgb="FFFFFF00"/>
        </patternFill>
      </fill>
      <alignment vertical="center" wrapText="1" readingOrder="0"/>
    </dxf>
  </rfmt>
  <rfmt sheetId="1" s="1" sqref="E18" start="0" length="0">
    <dxf>
      <font>
        <sz val="8"/>
        <color auto="1"/>
        <name val="Times New Roman"/>
        <scheme val="none"/>
      </font>
      <numFmt numFmtId="168" formatCode="#,##0.0_ ;\-#,##0.0\ "/>
      <fill>
        <patternFill patternType="solid">
          <bgColor rgb="FFFFFF00"/>
        </patternFill>
      </fill>
      <alignment vertical="center" wrapText="1" readingOrder="0"/>
    </dxf>
  </rfmt>
  <rfmt sheetId="1" s="1" sqref="E19" start="0" length="0">
    <dxf>
      <font>
        <sz val="8"/>
        <color auto="1"/>
        <name val="Times New Roman"/>
        <scheme val="none"/>
      </font>
      <numFmt numFmtId="168" formatCode="#,##0.0_ ;\-#,##0.0\ "/>
      <fill>
        <patternFill patternType="solid">
          <bgColor rgb="FFFFFF00"/>
        </patternFill>
      </fill>
      <alignment vertical="center" wrapText="1" readingOrder="0"/>
    </dxf>
  </rfmt>
  <rfmt sheetId="1" s="1" sqref="E21" start="0" length="0">
    <dxf>
      <font>
        <sz val="8"/>
        <color auto="1"/>
        <name val="Times New Roman"/>
        <scheme val="none"/>
      </font>
      <numFmt numFmtId="168" formatCode="#,##0.0_ ;\-#,##0.0\ "/>
      <fill>
        <patternFill patternType="solid">
          <bgColor rgb="FFFFFF00"/>
        </patternFill>
      </fill>
      <alignment vertical="center" wrapText="1" readingOrder="0"/>
    </dxf>
  </rfmt>
  <rfmt sheetId="1" s="1" sqref="E22" start="0" length="0">
    <dxf>
      <font>
        <sz val="8"/>
        <color auto="1"/>
        <name val="Times New Roman"/>
        <scheme val="none"/>
      </font>
      <numFmt numFmtId="168" formatCode="#,##0.0_ ;\-#,##0.0\ "/>
      <fill>
        <patternFill patternType="solid">
          <bgColor rgb="FFFFFF00"/>
        </patternFill>
      </fill>
      <alignment vertical="center" wrapText="1" readingOrder="0"/>
    </dxf>
  </rfmt>
  <rfmt sheetId="1" s="1" sqref="E23" start="0" length="0">
    <dxf>
      <font>
        <b/>
        <sz val="8"/>
        <color auto="1"/>
        <name val="Times New Roman"/>
        <scheme val="none"/>
      </font>
      <numFmt numFmtId="168" formatCode="#,##0.0_ ;\-#,##0.0\ "/>
      <fill>
        <patternFill patternType="solid">
          <bgColor rgb="FFFFFF00"/>
        </patternFill>
      </fill>
      <alignment vertical="center" wrapText="1" readingOrder="0"/>
    </dxf>
  </rfmt>
  <rfmt sheetId="1" s="1" sqref="E25" start="0" length="0">
    <dxf>
      <font>
        <b/>
        <sz val="8"/>
        <color auto="1"/>
        <name val="Times New Roman"/>
        <scheme val="none"/>
      </font>
      <numFmt numFmtId="168" formatCode="#,##0.0_ ;\-#,##0.0\ "/>
      <fill>
        <patternFill patternType="solid">
          <bgColor rgb="FFFFFF00"/>
        </patternFill>
      </fill>
      <alignment vertical="center" wrapText="1" readingOrder="0"/>
    </dxf>
  </rfmt>
  <rfmt sheetId="1" s="1" sqref="E26" start="0" length="0">
    <dxf>
      <font>
        <b/>
        <sz val="8"/>
        <color auto="1"/>
        <name val="Times New Roman"/>
        <scheme val="none"/>
      </font>
      <numFmt numFmtId="168" formatCode="#,##0.0_ ;\-#,##0.0\ "/>
      <fill>
        <patternFill patternType="solid">
          <bgColor rgb="FFFFFF00"/>
        </patternFill>
      </fill>
      <alignment vertical="center" wrapText="1" readingOrder="0"/>
    </dxf>
  </rfmt>
  <rfmt sheetId="1" s="1" sqref="E27" start="0" length="0">
    <dxf>
      <font>
        <b/>
        <sz val="8"/>
        <color auto="1"/>
        <name val="Times New Roman"/>
        <scheme val="none"/>
      </font>
      <numFmt numFmtId="168" formatCode="#,##0.0_ ;\-#,##0.0\ "/>
      <fill>
        <patternFill patternType="solid">
          <bgColor rgb="FFFFFF00"/>
        </patternFill>
      </fill>
      <alignment vertical="center" wrapText="1" readingOrder="0"/>
    </dxf>
  </rfmt>
  <rfmt sheetId="1" s="1" sqref="E28" start="0" length="0">
    <dxf>
      <font>
        <b/>
        <sz val="8"/>
        <color auto="1"/>
        <name val="Times New Roman"/>
        <scheme val="none"/>
      </font>
      <numFmt numFmtId="168" formatCode="#,##0.0_ ;\-#,##0.0\ "/>
      <fill>
        <patternFill patternType="solid">
          <bgColor rgb="FFFFFF00"/>
        </patternFill>
      </fill>
      <alignment vertical="center" wrapText="1" readingOrder="0"/>
    </dxf>
  </rfmt>
  <rfmt sheetId="1" s="1" sqref="E30" start="0" length="0">
    <dxf>
      <font>
        <b/>
        <sz val="8"/>
        <color auto="1"/>
        <name val="Times New Roman"/>
        <scheme val="none"/>
      </font>
      <numFmt numFmtId="168" formatCode="#,##0.0_ ;\-#,##0.0\ "/>
      <fill>
        <patternFill patternType="solid">
          <bgColor rgb="FFFFFF00"/>
        </patternFill>
      </fill>
      <alignment vertical="center" wrapText="1" readingOrder="0"/>
    </dxf>
  </rfmt>
  <rfmt sheetId="1" s="1" sqref="E31" start="0" length="0">
    <dxf>
      <font>
        <b/>
        <sz val="8"/>
        <color auto="1"/>
        <name val="Times New Roman"/>
        <scheme val="none"/>
      </font>
      <numFmt numFmtId="168" formatCode="#,##0.0_ ;\-#,##0.0\ "/>
      <fill>
        <patternFill patternType="solid">
          <bgColor rgb="FFFFFF00"/>
        </patternFill>
      </fill>
      <alignment vertical="center" wrapText="1" readingOrder="0"/>
    </dxf>
  </rfmt>
  <rcc rId="376" sId="1" odxf="1" dxf="1" numFmtId="4">
    <oc r="E7">
      <v>12098743.4</v>
    </oc>
    <nc r="E7">
      <v>11583169.300000001</v>
    </nc>
    <ndxf>
      <font>
        <sz val="12"/>
        <name val="Times New Roman"/>
        <scheme val="none"/>
      </font>
      <numFmt numFmtId="167" formatCode="[&gt;=0.005]#,##0.0;[&lt;=-0.005]\-#,##0.0;#,##0.0"/>
      <fill>
        <patternFill patternType="none">
          <bgColor indexed="65"/>
        </patternFill>
      </fill>
    </ndxf>
  </rcc>
  <rcc rId="377" sId="1" odxf="1" dxf="1" numFmtId="4">
    <oc r="E8">
      <v>20098845</v>
    </oc>
    <nc r="E8">
      <v>20104272.699999999</v>
    </nc>
    <ndxf>
      <font>
        <sz val="12"/>
        <name val="Times New Roman"/>
        <scheme val="none"/>
      </font>
      <numFmt numFmtId="167" formatCode="[&gt;=0.005]#,##0.0;[&lt;=-0.005]\-#,##0.0;#,##0.0"/>
      <fill>
        <patternFill patternType="none">
          <bgColor indexed="65"/>
        </patternFill>
      </fill>
    </ndxf>
  </rcc>
  <rcc rId="378" sId="1" odxf="1" s="1" dxf="1">
    <oc r="E9">
      <f>+E10</f>
    </oc>
    <nc r="E9">
      <f>+E10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7" formatCode="[&gt;=0.005]#,##0.0;[&lt;=-0.005]\-#,##0.0;#,##0.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vertical="center" wrapText="1" readingOrder="0"/>
    </ndxf>
  </rcc>
  <rcc rId="379" sId="1" odxf="1" dxf="1" numFmtId="4">
    <oc r="E10">
      <v>6852354.4000000004</v>
    </oc>
    <nc r="E10">
      <v>7018309.9000000004</v>
    </nc>
    <ndxf>
      <font>
        <sz val="12"/>
        <name val="Times New Roman"/>
        <scheme val="none"/>
      </font>
      <numFmt numFmtId="167" formatCode="[&gt;=0.005]#,##0.0;[&lt;=-0.005]\-#,##0.0;#,##0.0"/>
      <fill>
        <patternFill patternType="none">
          <bgColor indexed="65"/>
        </patternFill>
      </fill>
    </ndxf>
  </rcc>
  <rcc rId="380" sId="1" odxf="1" s="1" dxf="1" numFmtId="4">
    <nc r="E11">
      <v>1611282.6</v>
    </nc>
    <ndxf>
      <fill>
        <patternFill patternType="none">
          <bgColor indexed="65"/>
        </patternFill>
      </fill>
      <alignment vertical="center" wrapText="1" readingOrder="0"/>
    </ndxf>
  </rcc>
  <rcc rId="381" sId="1" odxf="1" s="1" dxf="1">
    <nc r="E12">
      <f>E10-E11</f>
    </nc>
    <ndxf>
      <fill>
        <patternFill patternType="none">
          <bgColor indexed="65"/>
        </patternFill>
      </fill>
      <alignment vertical="center" wrapText="1" readingOrder="0"/>
    </ndxf>
  </rcc>
  <rcc rId="382" sId="1" odxf="1" s="1" dxf="1">
    <oc r="E13">
      <f>+E14+E15</f>
    </oc>
    <nc r="E13">
      <f>+E14+E15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7" formatCode="[&gt;=0.005]#,##0.0;[&lt;=-0.005]\-#,##0.0;#,##0.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vertical="center" wrapText="1" readingOrder="0"/>
    </ndxf>
  </rcc>
  <rcc rId="383" sId="1" odxf="1" dxf="1" numFmtId="4">
    <oc r="E14">
      <v>4281193</v>
    </oc>
    <nc r="E14">
      <v>4281193.2</v>
    </nc>
    <ndxf>
      <font>
        <sz val="12"/>
        <name val="Times New Roman"/>
        <scheme val="none"/>
      </font>
      <numFmt numFmtId="167" formatCode="[&gt;=0.005]#,##0.0;[&lt;=-0.005]\-#,##0.0;#,##0.0"/>
      <fill>
        <patternFill patternType="none">
          <bgColor indexed="65"/>
        </patternFill>
      </fill>
    </ndxf>
  </rcc>
  <rfmt sheetId="1" sqref="E15" start="0" length="0">
    <dxf>
      <font>
        <sz val="12"/>
        <name val="Times New Roman"/>
        <scheme val="none"/>
      </font>
      <numFmt numFmtId="167" formatCode="[&gt;=0.005]#,##0.0;[&lt;=-0.005]\-#,##0.0;#,##0.0"/>
      <fill>
        <patternFill patternType="none">
          <bgColor indexed="65"/>
        </patternFill>
      </fill>
    </dxf>
  </rfmt>
  <rcc rId="384" sId="1" odxf="1" s="1" dxf="1">
    <oc r="E16">
      <f>+E17+E18+E19</f>
    </oc>
    <nc r="E16">
      <f>+E17+E18+E19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7" formatCode="[&gt;=0.005]#,##0.0;[&lt;=-0.005]\-#,##0.0;#,##0.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vertical="center" wrapText="1" readingOrder="0"/>
    </ndxf>
  </rcc>
  <rfmt sheetId="1" sqref="E17" start="0" length="0">
    <dxf>
      <font>
        <sz val="12"/>
        <name val="Times New Roman"/>
        <scheme val="none"/>
      </font>
      <numFmt numFmtId="167" formatCode="[&gt;=0.005]#,##0.0;[&lt;=-0.005]\-#,##0.0;#,##0.0"/>
      <fill>
        <patternFill patternType="none">
          <bgColor indexed="65"/>
        </patternFill>
      </fill>
    </dxf>
  </rfmt>
  <rfmt sheetId="1" sqref="E18" start="0" length="0">
    <dxf>
      <font>
        <sz val="12"/>
        <name val="Times New Roman"/>
        <scheme val="none"/>
      </font>
      <numFmt numFmtId="167" formatCode="[&gt;=0.005]#,##0.0;[&lt;=-0.005]\-#,##0.0;#,##0.0"/>
      <fill>
        <patternFill patternType="none">
          <bgColor indexed="65"/>
        </patternFill>
      </fill>
    </dxf>
  </rfmt>
  <rfmt sheetId="1" sqref="E19" start="0" length="0">
    <dxf>
      <font>
        <sz val="12"/>
        <name val="Times New Roman"/>
        <scheme val="none"/>
      </font>
      <numFmt numFmtId="167" formatCode="[&gt;=0.005]#,##0.0;[&lt;=-0.005]\-#,##0.0;#,##0.0"/>
      <fill>
        <patternFill patternType="none">
          <bgColor indexed="65"/>
        </patternFill>
      </fill>
    </dxf>
  </rfmt>
  <rcc rId="385" sId="1" odxf="1" s="1" dxf="1">
    <oc r="E20">
      <f>E21+E22</f>
    </oc>
    <nc r="E20">
      <f>E21+E22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7" formatCode="[&gt;=0.005]#,##0.0;[&lt;=-0.005]\-#,##0.0;#,##0.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vertical="center" wrapText="1" readingOrder="0"/>
    </ndxf>
  </rcc>
  <rcc rId="386" sId="1" odxf="1" dxf="1" numFmtId="4">
    <oc r="E21">
      <v>2737023</v>
    </oc>
    <nc r="E21">
      <v>2737074.3</v>
    </nc>
    <ndxf>
      <font>
        <sz val="12"/>
        <name val="Times New Roman"/>
        <scheme val="none"/>
      </font>
      <numFmt numFmtId="167" formatCode="[&gt;=0.005]#,##0.0;[&lt;=-0.005]\-#,##0.0;#,##0.0"/>
      <fill>
        <patternFill patternType="none">
          <bgColor indexed="65"/>
        </patternFill>
      </fill>
    </ndxf>
  </rcc>
  <rfmt sheetId="1" sqref="E22" start="0" length="0">
    <dxf>
      <font>
        <sz val="12"/>
        <name val="Times New Roman"/>
        <scheme val="none"/>
      </font>
      <numFmt numFmtId="167" formatCode="[&gt;=0.005]#,##0.0;[&lt;=-0.005]\-#,##0.0;#,##0.0"/>
      <fill>
        <patternFill patternType="none">
          <bgColor indexed="65"/>
        </patternFill>
      </fill>
    </dxf>
  </rfmt>
  <rcc rId="387" sId="1" odxf="1" dxf="1" numFmtId="4">
    <oc r="E23">
      <v>90607</v>
    </oc>
    <nc r="E23">
      <v>102274.9</v>
    </nc>
    <ndxf>
      <font>
        <b val="0"/>
        <sz val="12"/>
        <name val="Times New Roman"/>
        <scheme val="none"/>
      </font>
      <numFmt numFmtId="167" formatCode="[&gt;=0.005]#,##0.0;[&lt;=-0.005]\-#,##0.0;#,##0.0"/>
      <fill>
        <patternFill patternType="none">
          <bgColor indexed="65"/>
        </patternFill>
      </fill>
    </ndxf>
  </rcc>
  <rfmt sheetId="1" s="1" sqref="E24" start="0" length="0">
    <dxf>
      <alignment vertical="center" wrapText="1" readingOrder="0"/>
    </dxf>
  </rfmt>
  <rcc rId="388" sId="1" odxf="1" dxf="1" numFmtId="4">
    <oc r="E25">
      <v>464001</v>
    </oc>
    <nc r="E25">
      <v>467163</v>
    </nc>
    <ndxf>
      <font>
        <b val="0"/>
        <sz val="12"/>
        <name val="Times New Roman"/>
        <scheme val="none"/>
      </font>
      <numFmt numFmtId="167" formatCode="[&gt;=0.005]#,##0.0;[&lt;=-0.005]\-#,##0.0;#,##0.0"/>
      <fill>
        <patternFill patternType="none">
          <bgColor indexed="65"/>
        </patternFill>
      </fill>
    </ndxf>
  </rcc>
  <rcc rId="389" sId="1" odxf="1" dxf="1" numFmtId="4">
    <oc r="E26">
      <v>1236903</v>
    </oc>
    <nc r="E26">
      <v>1353185.1</v>
    </nc>
    <ndxf>
      <font>
        <b val="0"/>
        <sz val="12"/>
        <name val="Times New Roman"/>
        <scheme val="none"/>
      </font>
      <numFmt numFmtId="167" formatCode="[&gt;=0.005]#,##0.0;[&lt;=-0.005]\-#,##0.0;#,##0.0"/>
      <fill>
        <patternFill patternType="none">
          <bgColor indexed="65"/>
        </patternFill>
      </fill>
    </ndxf>
  </rcc>
  <rcc rId="390" sId="1" odxf="1" dxf="1" numFmtId="4">
    <oc r="E27">
      <v>196091</v>
    </oc>
    <nc r="E27">
      <v>203813</v>
    </nc>
    <ndxf>
      <font>
        <b val="0"/>
        <sz val="12"/>
        <name val="Times New Roman"/>
        <scheme val="none"/>
      </font>
      <numFmt numFmtId="167" formatCode="[&gt;=0.005]#,##0.0;[&lt;=-0.005]\-#,##0.0;#,##0.0"/>
      <fill>
        <patternFill patternType="none">
          <bgColor indexed="65"/>
        </patternFill>
      </fill>
    </ndxf>
  </rcc>
  <rcc rId="391" sId="1" odxf="1" dxf="1" numFmtId="4">
    <oc r="E28">
      <v>167650</v>
    </oc>
    <nc r="E28">
      <v>168050.2</v>
    </nc>
    <ndxf>
      <font>
        <b val="0"/>
        <sz val="12"/>
        <name val="Times New Roman"/>
        <scheme val="none"/>
      </font>
      <numFmt numFmtId="167" formatCode="[&gt;=0.005]#,##0.0;[&lt;=-0.005]\-#,##0.0;#,##0.0"/>
      <fill>
        <patternFill patternType="none">
          <bgColor indexed="65"/>
        </patternFill>
      </fill>
    </ndxf>
  </rcc>
  <rfmt sheetId="1" s="1" sqref="E29" start="0" length="0">
    <dxf>
      <alignment vertical="center" wrapText="1" readingOrder="0"/>
    </dxf>
  </rfmt>
  <rcc rId="392" sId="1" odxf="1" dxf="1" numFmtId="4">
    <oc r="E30">
      <v>688042</v>
    </oc>
    <nc r="E30">
      <v>865528.8</v>
    </nc>
    <ndxf>
      <font>
        <b val="0"/>
        <sz val="12"/>
        <name val="Times New Roman"/>
        <scheme val="none"/>
      </font>
      <numFmt numFmtId="167" formatCode="[&gt;=0.005]#,##0.0;[&lt;=-0.005]\-#,##0.0;#,##0.0"/>
      <fill>
        <patternFill patternType="none">
          <bgColor indexed="65"/>
        </patternFill>
      </fill>
    </ndxf>
  </rcc>
  <rfmt sheetId="1" sqref="E31" start="0" length="0">
    <dxf>
      <font>
        <b val="0"/>
        <sz val="12"/>
        <name val="Times New Roman"/>
        <scheme val="none"/>
      </font>
      <numFmt numFmtId="167" formatCode="[&gt;=0.005]#,##0.0;[&lt;=-0.005]\-#,##0.0;#,##0.0"/>
      <fill>
        <patternFill patternType="none">
          <bgColor indexed="65"/>
        </patternFill>
      </fill>
    </dxf>
  </rfmt>
  <rcc rId="393" sId="1" odxf="1" s="1" dxf="1" numFmtId="4">
    <nc r="B11">
      <v>911874.3</v>
    </nc>
    <ndxf>
      <fill>
        <patternFill patternType="none">
          <bgColor indexed="65"/>
        </patternFill>
      </fill>
      <alignment vertical="center" wrapText="1" readingOrder="0"/>
    </ndxf>
  </rcc>
  <rcc rId="394" sId="1" odxf="1" s="1" dxf="1" numFmtId="4">
    <nc r="C11">
      <v>1587506.1</v>
    </nc>
    <ndxf>
      <fill>
        <patternFill patternType="none">
          <bgColor indexed="65"/>
        </patternFill>
      </fill>
      <alignment vertical="center" wrapText="1" readingOrder="0"/>
    </ndxf>
  </rcc>
  <rcc rId="395" sId="1" odxf="1" s="1" dxf="1" numFmtId="4">
    <nc r="D11">
      <v>1587506.1</v>
    </nc>
    <ndxf>
      <fill>
        <patternFill patternType="none">
          <bgColor indexed="65"/>
        </patternFill>
      </fill>
      <alignment vertical="center" wrapText="1" readingOrder="0"/>
    </ndxf>
  </rcc>
  <rcc rId="396" sId="1" odxf="1" s="1" dxf="1">
    <nc r="B12">
      <f>B10-B11</f>
    </nc>
    <ndxf>
      <fill>
        <patternFill patternType="none">
          <bgColor indexed="65"/>
        </patternFill>
      </fill>
      <alignment vertical="center" wrapText="1" readingOrder="0"/>
    </ndxf>
  </rcc>
  <rcc rId="397" sId="1" odxf="1" s="1" dxf="1">
    <nc r="C12">
      <f>C10-C11</f>
    </nc>
    <ndxf>
      <fill>
        <patternFill patternType="none">
          <bgColor indexed="65"/>
        </patternFill>
      </fill>
      <alignment vertical="center" wrapText="1" readingOrder="0"/>
    </ndxf>
  </rcc>
  <rcc rId="398" sId="1" odxf="1" s="1" dxf="1">
    <nc r="D12">
      <f>D10-D11</f>
    </nc>
    <ndxf>
      <fill>
        <patternFill patternType="none">
          <bgColor indexed="65"/>
        </patternFill>
      </fill>
      <alignment vertical="center" wrapText="1" readingOrder="0"/>
    </ndxf>
  </rcc>
  <rcc rId="399" sId="1">
    <oc r="E15">
      <v>240015</v>
    </oc>
    <nc r="E15">
      <f>265000+2433+0.1</f>
    </nc>
  </rcc>
  <rcc rId="400" sId="1" numFmtId="4">
    <oc r="E31">
      <v>10000</v>
    </oc>
    <nc r="E31">
      <v>10000.299999999999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1" sId="1" numFmtId="4">
    <oc r="C67">
      <v>-6439931.2000000002</v>
    </oc>
    <nc r="C67">
      <v>3960068.8</v>
    </nc>
  </rcc>
  <rcc rId="402" sId="1" numFmtId="4">
    <oc r="C68">
      <v>6785514.4000000004</v>
    </oc>
    <nc r="C68">
      <v>-3614485.6</v>
    </nc>
  </rcc>
  <rcv guid="{BD55AB36-084D-4C26-BAB2-482C24A270C8}" action="delete"/>
  <rdn rId="0" localSheetId="1" customView="1" name="Z_BD55AB36_084D_4C26_BAB2_482C24A270C8_.wvu.PrintArea" hidden="1" oldHidden="1">
    <formula>'ожид.оценка 2024'!$A$1:$E$74</formula>
    <oldFormula>'ожид.оценка 2024'!$A$1:$E$74</oldFormula>
  </rdn>
  <rdn rId="0" localSheetId="1" customView="1" name="Z_BD55AB36_084D_4C26_BAB2_482C24A270C8_.wvu.PrintTitles" hidden="1" oldHidden="1">
    <formula>'ожид.оценка 2024'!$3:$3</formula>
    <oldFormula>'ожид.оценка 2024'!$3:$3</oldFormula>
  </rdn>
  <rdn rId="0" localSheetId="2" customView="1" name="Z_BD55AB36_084D_4C26_BAB2_482C24A270C8_.wvu.PrintArea" hidden="1" oldHidden="1">
    <formula>'по отчету отправка'!$A$1:$C$75</formula>
    <oldFormula>'по отчету отправка'!$A$1:$C$75</oldFormula>
  </rdn>
  <rdn rId="0" localSheetId="2" customView="1" name="Z_BD55AB36_084D_4C26_BAB2_482C24A270C8_.wvu.PrintTitles" hidden="1" oldHidden="1">
    <formula>'по отчету отправка'!$3:$3</formula>
    <oldFormula>'по отчету отправка'!$3:$3</oldFormula>
  </rdn>
  <rdn rId="0" localSheetId="2" customView="1" name="Z_BD55AB36_084D_4C26_BAB2_482C24A270C8_.wvu.Rows" hidden="1" oldHidden="1">
    <formula>'по отчету отправка'!$41:$42</formula>
    <oldFormula>'по отчету отправка'!$41:$42</oldFormula>
  </rdn>
  <rdn rId="0" localSheetId="3" customView="1" name="Z_BD55AB36_084D_4C26_BAB2_482C24A270C8_.wvu.PrintArea" hidden="1" oldHidden="1">
    <formula>'по отчету руб'!$A$1:$C$74</formula>
    <oldFormula>'по отчету руб'!$A$1:$C$74</oldFormula>
  </rdn>
  <rdn rId="0" localSheetId="3" customView="1" name="Z_BD55AB36_084D_4C26_BAB2_482C24A270C8_.wvu.PrintTitles" hidden="1" oldHidden="1">
    <formula>'по отчету руб'!$3:$3</formula>
    <oldFormula>'по отчету руб'!$3:$3</oldFormula>
  </rdn>
  <rdn rId="0" localSheetId="3" customView="1" name="Z_BD55AB36_084D_4C26_BAB2_482C24A270C8_.wvu.Rows" hidden="1" oldHidden="1">
    <formula>'по отчету руб'!$13:$13,'по отчету руб'!$16:$16,'по отчету руб'!$40:$41,'по отчету руб'!$44:$44,'по отчету руб'!$71:$71</formula>
    <oldFormula>'по отчету руб'!$13:$13,'по отчету руб'!$16:$16,'по отчету руб'!$40:$41,'по отчету руб'!$44:$44,'по отчету руб'!$71:$71</oldFormula>
  </rdn>
  <rdn rId="0" localSheetId="4" customView="1" name="Z_BD55AB36_084D_4C26_BAB2_482C24A270C8_.wvu.PrintArea" hidden="1" oldHidden="1">
    <formula>'по отчету (3)'!$A$1:$C$74</formula>
    <oldFormula>'по отчету (3)'!$A$1:$C$74</oldFormula>
  </rdn>
  <rdn rId="0" localSheetId="4" customView="1" name="Z_BD55AB36_084D_4C26_BAB2_482C24A270C8_.wvu.PrintTitles" hidden="1" oldHidden="1">
    <formula>'по отчету (3)'!$3:$3</formula>
    <oldFormula>'по отчету (3)'!$3:$3</oldFormula>
  </rdn>
  <rdn rId="0" localSheetId="4" customView="1" name="Z_BD55AB36_084D_4C26_BAB2_482C24A270C8_.wvu.Rows" hidden="1" oldHidden="1">
    <formula>'по отчету (3)'!$13:$13,'по отчету (3)'!$16:$16,'по отчету (3)'!$40:$41,'по отчету (3)'!$44:$44,'по отчету (3)'!$71:$71</formula>
    <oldFormula>'по отчету (3)'!$13:$13,'по отчету (3)'!$16:$16,'по отчету (3)'!$40:$41,'по отчету (3)'!$44:$44,'по отчету (3)'!$71:$71</oldFormula>
  </rdn>
  <rdn rId="0" localSheetId="5" customView="1" name="Z_BD55AB36_084D_4C26_BAB2_482C24A270C8_.wvu.PrintArea" hidden="1" oldHidden="1">
    <formula>'план по отчету'!$A$1:$D$78</formula>
    <oldFormula>'план по отчету'!$A$1:$D$78</oldFormula>
  </rdn>
  <rdn rId="0" localSheetId="5" customView="1" name="Z_BD55AB36_084D_4C26_BAB2_482C24A270C8_.wvu.PrintTitles" hidden="1" oldHidden="1">
    <formula>'план по отчету'!$3:$3</formula>
    <oldFormula>'план по отчету'!$3:$3</oldFormula>
  </rdn>
  <rdn rId="0" localSheetId="5" customView="1" name="Z_BD55AB36_084D_4C26_BAB2_482C24A270C8_.wvu.Rows" hidden="1" oldHidden="1">
    <formula>'план по отчету'!$13:$13,'план по отчету'!$16:$16,'план по отчету'!$44:$45,'план по отчету'!$48:$48,'план по отчету'!$75:$75</formula>
    <oldFormula>'план по отчету'!$13:$13,'план по отчету'!$16:$16,'план по отчету'!$44:$45,'план по отчету'!$48:$48,'план по отчету'!$75:$75</oldFormula>
  </rdn>
  <rdn rId="0" localSheetId="6" customView="1" name="Z_BD55AB36_084D_4C26_BAB2_482C24A270C8_.wvu.PrintArea" hidden="1" oldHidden="1">
    <formula>'на отправку'!$A$1:$C$78</formula>
    <oldFormula>'на отправку'!$A$1:$C$78</oldFormula>
  </rdn>
  <rdn rId="0" localSheetId="6" customView="1" name="Z_BD55AB36_084D_4C26_BAB2_482C24A270C8_.wvu.PrintTitles" hidden="1" oldHidden="1">
    <formula>'на отправку'!$3:$3</formula>
    <oldFormula>'на отправку'!$3:$3</oldFormula>
  </rdn>
  <rdn rId="0" localSheetId="6" customView="1" name="Z_BD55AB36_084D_4C26_BAB2_482C24A270C8_.wvu.Rows" hidden="1" oldHidden="1">
    <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formula>
    <old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oldFormula>
  </rdn>
  <rdn rId="0" localSheetId="7" customView="1" name="Z_BD55AB36_084D_4C26_BAB2_482C24A270C8_.wvu.PrintArea" hidden="1" oldHidden="1">
    <formula>'по отчету'!$A$1:$C$78</formula>
    <oldFormula>'по отчету'!$A$1:$C$78</oldFormula>
  </rdn>
  <rdn rId="0" localSheetId="7" customView="1" name="Z_BD55AB36_084D_4C26_BAB2_482C24A270C8_.wvu.PrintTitles" hidden="1" oldHidden="1">
    <formula>'по отчету'!$3:$3</formula>
    <oldFormula>'по отчету'!$3:$3</oldFormula>
  </rdn>
  <rdn rId="0" localSheetId="7" customView="1" name="Z_BD55AB36_084D_4C26_BAB2_482C24A270C8_.wvu.Rows" hidden="1" oldHidden="1">
    <formula>'по отчету'!$13:$13,'по отчету'!$16:$16,'по отчету'!$44:$45,'по отчету'!$48:$48,'по отчету'!$75:$75</formula>
    <oldFormula>'по отчету'!$13:$13,'по отчету'!$16:$16,'по отчету'!$44:$45,'по отчету'!$48:$48,'по отчету'!$75:$75</oldFormula>
  </rdn>
  <rcv guid="{BD55AB36-084D-4C26-BAB2-482C24A270C8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3" sId="1" numFmtId="4">
    <oc r="E67">
      <v>-6439931.2000000002</v>
    </oc>
    <nc r="E67">
      <v>3960068.8</v>
    </nc>
  </rcc>
  <rcc rId="424" sId="1" numFmtId="4">
    <oc r="E68">
      <v>6785514.4000000004</v>
    </oc>
    <nc r="E68">
      <v>-3614485.6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5" sId="1">
    <oc r="F3" t="inlineStr">
      <is>
        <t>закон</t>
      </is>
    </oc>
    <nc r="F3"/>
  </rcc>
  <rcc rId="426" sId="1">
    <oc r="G3" t="inlineStr">
      <is>
        <t>план на 01.10.2025</t>
      </is>
    </oc>
    <nc r="G3"/>
  </rcc>
  <rcc rId="427" sId="1">
    <oc r="G5">
      <f>G6+G9+G13+G16+G20+G23+G24+G25+G26+G27+G28+G29+G30+G31</f>
    </oc>
    <nc r="G5"/>
  </rcc>
  <rcc rId="428" sId="1">
    <oc r="G6">
      <f>+G7+G8</f>
    </oc>
    <nc r="G6"/>
  </rcc>
  <rcc rId="429" sId="1" numFmtId="4">
    <oc r="G7">
      <v>12098743.4</v>
    </oc>
    <nc r="G7"/>
  </rcc>
  <rcc rId="430" sId="1" numFmtId="4">
    <oc r="G8">
      <v>20098845</v>
    </oc>
    <nc r="G8"/>
  </rcc>
  <rcc rId="431" sId="1">
    <oc r="G9">
      <f>+G10</f>
    </oc>
    <nc r="G9"/>
  </rcc>
  <rcc rId="432" sId="1" numFmtId="4">
    <oc r="G10">
      <v>6852354.4000000004</v>
    </oc>
    <nc r="G10"/>
  </rcc>
  <rcc rId="433" sId="1">
    <oc r="G13">
      <f>+G14+G15+#REF!</f>
    </oc>
    <nc r="G13"/>
  </rcc>
  <rcc rId="434" sId="1" numFmtId="4">
    <oc r="G14">
      <v>4281193</v>
    </oc>
    <nc r="G14"/>
  </rcc>
  <rcc rId="435" sId="1" numFmtId="4">
    <oc r="G15">
      <v>240015</v>
    </oc>
    <nc r="G15"/>
  </rcc>
  <rcc rId="436" sId="1">
    <oc r="G16">
      <f>+G17+G18+G19</f>
    </oc>
    <nc r="G16"/>
  </rcc>
  <rcc rId="437" sId="1" numFmtId="4">
    <oc r="G17">
      <v>3528564</v>
    </oc>
    <nc r="G17"/>
  </rcc>
  <rcc rId="438" sId="1" numFmtId="4">
    <oc r="G18">
      <v>1164778.3</v>
    </oc>
    <nc r="G18"/>
  </rcc>
  <rcc rId="439" sId="1" numFmtId="4">
    <oc r="G19">
      <v>672</v>
    </oc>
    <nc r="G19"/>
  </rcc>
  <rcc rId="440" sId="1">
    <oc r="G20">
      <f>G21+G22</f>
    </oc>
    <nc r="G20"/>
  </rcc>
  <rcc rId="441" sId="1" numFmtId="4">
    <oc r="G21">
      <v>2737023</v>
    </oc>
    <nc r="G21"/>
  </rcc>
  <rcc rId="442" sId="1" numFmtId="4">
    <oc r="G22">
      <v>84808</v>
    </oc>
    <nc r="G22"/>
  </rcc>
  <rcc rId="443" sId="1" numFmtId="4">
    <oc r="G23">
      <v>90607</v>
    </oc>
    <nc r="G23"/>
  </rcc>
  <rcc rId="444" sId="1" numFmtId="4">
    <oc r="G25">
      <v>464001</v>
    </oc>
    <nc r="G25"/>
  </rcc>
  <rcc rId="445" sId="1" numFmtId="4">
    <oc r="G26">
      <v>1236903</v>
    </oc>
    <nc r="G26"/>
  </rcc>
  <rcc rId="446" sId="1" numFmtId="4">
    <oc r="G27">
      <v>196091</v>
    </oc>
    <nc r="G27"/>
  </rcc>
  <rcc rId="447" sId="1" numFmtId="4">
    <oc r="G28">
      <v>167650</v>
    </oc>
    <nc r="G28"/>
  </rcc>
  <rcc rId="448" sId="1" numFmtId="4">
    <oc r="G29">
      <v>7</v>
    </oc>
    <nc r="G29"/>
  </rcc>
  <rcc rId="449" sId="1" numFmtId="4">
    <oc r="G30">
      <v>688042</v>
    </oc>
    <nc r="G30"/>
  </rcc>
  <rcc rId="450" sId="1" numFmtId="4">
    <oc r="G31">
      <v>10000</v>
    </oc>
    <nc r="G31"/>
  </rcc>
  <rcc rId="451" sId="1">
    <oc r="F32">
      <f>F33+F41+F42+F43+F44+F45</f>
    </oc>
    <nc r="F32"/>
  </rcc>
  <rcc rId="452" sId="1">
    <oc r="G32">
      <f>G33+G41+G42+G43+G44+G45-0.1</f>
    </oc>
    <nc r="G32"/>
  </rcc>
  <rcc rId="453" sId="1">
    <oc r="F33">
      <f>F34+F38+F39+F40</f>
    </oc>
    <nc r="F33"/>
  </rcc>
  <rcc rId="454" sId="1">
    <oc r="G33">
      <f>G34+G38+G39+G40</f>
    </oc>
    <nc r="G33"/>
  </rcc>
  <rcc rId="455" sId="1" numFmtId="4">
    <oc r="F34">
      <v>8107311.9000000004</v>
    </oc>
    <nc r="F34"/>
  </rcc>
  <rcc rId="456" sId="1" numFmtId="4">
    <oc r="G34">
      <v>8250677.7999999998</v>
    </oc>
    <nc r="G34"/>
  </rcc>
  <rcc rId="457" sId="1" numFmtId="4">
    <oc r="G35">
      <v>7163796.9000000004</v>
    </oc>
    <nc r="G35"/>
  </rcc>
  <rcc rId="458" sId="1" numFmtId="4">
    <oc r="G36">
      <v>943515</v>
    </oc>
    <nc r="G36"/>
  </rcc>
  <rcc rId="459" sId="1" numFmtId="4">
    <oc r="G37">
      <v>143365.9</v>
    </oc>
    <nc r="G37"/>
  </rcc>
  <rcc rId="460" sId="1" numFmtId="4">
    <oc r="F38">
      <v>13693225.4</v>
    </oc>
    <nc r="F38"/>
  </rcc>
  <rcc rId="461" sId="1" numFmtId="4">
    <oc r="G38">
      <v>11357111.5</v>
    </oc>
    <nc r="G38"/>
  </rcc>
  <rcc rId="462" sId="1" numFmtId="4">
    <oc r="F39">
      <v>2460771.6</v>
    </oc>
    <nc r="F39"/>
  </rcc>
  <rcc rId="463" sId="1" numFmtId="4">
    <oc r="G39">
      <v>2779819.9</v>
    </oc>
    <nc r="G39"/>
  </rcc>
  <rcc rId="464" sId="1" numFmtId="4">
    <oc r="F40">
      <v>945564.2</v>
    </oc>
    <nc r="F40"/>
  </rcc>
  <rcc rId="465" sId="1" numFmtId="4">
    <oc r="G40">
      <v>1216531.8</v>
    </oc>
    <nc r="G40"/>
  </rcc>
  <rcc rId="466" sId="1" numFmtId="4">
    <oc r="F41">
      <v>0</v>
    </oc>
    <nc r="F41"/>
  </rcc>
  <rcc rId="467" sId="1" numFmtId="4">
    <oc r="G41">
      <v>5254776.2</v>
    </oc>
    <nc r="G41"/>
  </rcc>
  <rcc rId="468" sId="1" numFmtId="4">
    <oc r="F42">
      <v>0</v>
    </oc>
    <nc r="F42"/>
  </rcc>
  <rcc rId="469" sId="1" numFmtId="4">
    <oc r="G42">
      <v>4975.8</v>
    </oc>
    <nc r="G42"/>
  </rcc>
  <rcc rId="470" sId="1" numFmtId="4">
    <oc r="F43">
      <v>0</v>
    </oc>
    <nc r="F43"/>
  </rcc>
  <rcc rId="471" sId="1" numFmtId="4">
    <oc r="G43">
      <v>2041.4</v>
    </oc>
    <nc r="G43"/>
  </rcc>
  <rcc rId="472" sId="1" numFmtId="4">
    <oc r="F44">
      <v>100000</v>
    </oc>
    <nc r="F44"/>
  </rcc>
  <rcc rId="473" sId="1" numFmtId="4">
    <oc r="G44">
      <v>100000</v>
    </oc>
    <nc r="G44"/>
  </rcc>
  <rcc rId="474" sId="1" numFmtId="4">
    <oc r="F45">
      <v>0</v>
    </oc>
    <nc r="F45"/>
  </rcc>
  <rcc rId="475" sId="1" numFmtId="4">
    <oc r="G45">
      <v>0</v>
    </oc>
    <nc r="G45"/>
  </rcc>
  <rcc rId="476" sId="1">
    <oc r="A1" t="inlineStr">
      <is>
        <t>Оценка ожидаемого исполнения бюджета Республики Карелия на 2024 год</t>
      </is>
    </oc>
    <nc r="A1" t="inlineStr">
      <is>
        <t>Оценка ожидаемого исполнения бюджета Республики Карелия на 2025 год</t>
      </is>
    </nc>
  </rcc>
  <rcv guid="{BD55AB36-084D-4C26-BAB2-482C24A270C8}" action="delete"/>
  <rdn rId="0" localSheetId="1" customView="1" name="Z_BD55AB36_084D_4C26_BAB2_482C24A270C8_.wvu.PrintArea" hidden="1" oldHidden="1">
    <formula>'ожид.оценка 2024'!$A$1:$E$74</formula>
    <oldFormula>'ожид.оценка 2024'!$A$1:$E$74</oldFormula>
  </rdn>
  <rdn rId="0" localSheetId="1" customView="1" name="Z_BD55AB36_084D_4C26_BAB2_482C24A270C8_.wvu.PrintTitles" hidden="1" oldHidden="1">
    <formula>'ожид.оценка 2024'!$3:$3</formula>
    <oldFormula>'ожид.оценка 2024'!$3:$3</oldFormula>
  </rdn>
  <rdn rId="0" localSheetId="2" customView="1" name="Z_BD55AB36_084D_4C26_BAB2_482C24A270C8_.wvu.PrintArea" hidden="1" oldHidden="1">
    <formula>'по отчету отправка'!$A$1:$C$75</formula>
    <oldFormula>'по отчету отправка'!$A$1:$C$75</oldFormula>
  </rdn>
  <rdn rId="0" localSheetId="2" customView="1" name="Z_BD55AB36_084D_4C26_BAB2_482C24A270C8_.wvu.PrintTitles" hidden="1" oldHidden="1">
    <formula>'по отчету отправка'!$3:$3</formula>
    <oldFormula>'по отчету отправка'!$3:$3</oldFormula>
  </rdn>
  <rdn rId="0" localSheetId="2" customView="1" name="Z_BD55AB36_084D_4C26_BAB2_482C24A270C8_.wvu.Rows" hidden="1" oldHidden="1">
    <formula>'по отчету отправка'!$41:$42</formula>
    <oldFormula>'по отчету отправка'!$41:$42</oldFormula>
  </rdn>
  <rdn rId="0" localSheetId="3" customView="1" name="Z_BD55AB36_084D_4C26_BAB2_482C24A270C8_.wvu.PrintArea" hidden="1" oldHidden="1">
    <formula>'по отчету руб'!$A$1:$C$74</formula>
    <oldFormula>'по отчету руб'!$A$1:$C$74</oldFormula>
  </rdn>
  <rdn rId="0" localSheetId="3" customView="1" name="Z_BD55AB36_084D_4C26_BAB2_482C24A270C8_.wvu.PrintTitles" hidden="1" oldHidden="1">
    <formula>'по отчету руб'!$3:$3</formula>
    <oldFormula>'по отчету руб'!$3:$3</oldFormula>
  </rdn>
  <rdn rId="0" localSheetId="3" customView="1" name="Z_BD55AB36_084D_4C26_BAB2_482C24A270C8_.wvu.Rows" hidden="1" oldHidden="1">
    <formula>'по отчету руб'!$13:$13,'по отчету руб'!$16:$16,'по отчету руб'!$40:$41,'по отчету руб'!$44:$44,'по отчету руб'!$71:$71</formula>
    <oldFormula>'по отчету руб'!$13:$13,'по отчету руб'!$16:$16,'по отчету руб'!$40:$41,'по отчету руб'!$44:$44,'по отчету руб'!$71:$71</oldFormula>
  </rdn>
  <rdn rId="0" localSheetId="4" customView="1" name="Z_BD55AB36_084D_4C26_BAB2_482C24A270C8_.wvu.PrintArea" hidden="1" oldHidden="1">
    <formula>'по отчету (3)'!$A$1:$C$74</formula>
    <oldFormula>'по отчету (3)'!$A$1:$C$74</oldFormula>
  </rdn>
  <rdn rId="0" localSheetId="4" customView="1" name="Z_BD55AB36_084D_4C26_BAB2_482C24A270C8_.wvu.PrintTitles" hidden="1" oldHidden="1">
    <formula>'по отчету (3)'!$3:$3</formula>
    <oldFormula>'по отчету (3)'!$3:$3</oldFormula>
  </rdn>
  <rdn rId="0" localSheetId="4" customView="1" name="Z_BD55AB36_084D_4C26_BAB2_482C24A270C8_.wvu.Rows" hidden="1" oldHidden="1">
    <formula>'по отчету (3)'!$13:$13,'по отчету (3)'!$16:$16,'по отчету (3)'!$40:$41,'по отчету (3)'!$44:$44,'по отчету (3)'!$71:$71</formula>
    <oldFormula>'по отчету (3)'!$13:$13,'по отчету (3)'!$16:$16,'по отчету (3)'!$40:$41,'по отчету (3)'!$44:$44,'по отчету (3)'!$71:$71</oldFormula>
  </rdn>
  <rdn rId="0" localSheetId="5" customView="1" name="Z_BD55AB36_084D_4C26_BAB2_482C24A270C8_.wvu.PrintArea" hidden="1" oldHidden="1">
    <formula>'план по отчету'!$A$1:$D$78</formula>
    <oldFormula>'план по отчету'!$A$1:$D$78</oldFormula>
  </rdn>
  <rdn rId="0" localSheetId="5" customView="1" name="Z_BD55AB36_084D_4C26_BAB2_482C24A270C8_.wvu.PrintTitles" hidden="1" oldHidden="1">
    <formula>'план по отчету'!$3:$3</formula>
    <oldFormula>'план по отчету'!$3:$3</oldFormula>
  </rdn>
  <rdn rId="0" localSheetId="5" customView="1" name="Z_BD55AB36_084D_4C26_BAB2_482C24A270C8_.wvu.Rows" hidden="1" oldHidden="1">
    <formula>'план по отчету'!$13:$13,'план по отчету'!$16:$16,'план по отчету'!$44:$45,'план по отчету'!$48:$48,'план по отчету'!$75:$75</formula>
    <oldFormula>'план по отчету'!$13:$13,'план по отчету'!$16:$16,'план по отчету'!$44:$45,'план по отчету'!$48:$48,'план по отчету'!$75:$75</oldFormula>
  </rdn>
  <rdn rId="0" localSheetId="6" customView="1" name="Z_BD55AB36_084D_4C26_BAB2_482C24A270C8_.wvu.PrintArea" hidden="1" oldHidden="1">
    <formula>'на отправку'!$A$1:$C$78</formula>
    <oldFormula>'на отправку'!$A$1:$C$78</oldFormula>
  </rdn>
  <rdn rId="0" localSheetId="6" customView="1" name="Z_BD55AB36_084D_4C26_BAB2_482C24A270C8_.wvu.PrintTitles" hidden="1" oldHidden="1">
    <formula>'на отправку'!$3:$3</formula>
    <oldFormula>'на отправку'!$3:$3</oldFormula>
  </rdn>
  <rdn rId="0" localSheetId="6" customView="1" name="Z_BD55AB36_084D_4C26_BAB2_482C24A270C8_.wvu.Rows" hidden="1" oldHidden="1">
    <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formula>
    <old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oldFormula>
  </rdn>
  <rdn rId="0" localSheetId="7" customView="1" name="Z_BD55AB36_084D_4C26_BAB2_482C24A270C8_.wvu.PrintArea" hidden="1" oldHidden="1">
    <formula>'по отчету'!$A$1:$C$78</formula>
    <oldFormula>'по отчету'!$A$1:$C$78</oldFormula>
  </rdn>
  <rdn rId="0" localSheetId="7" customView="1" name="Z_BD55AB36_084D_4C26_BAB2_482C24A270C8_.wvu.PrintTitles" hidden="1" oldHidden="1">
    <formula>'по отчету'!$3:$3</formula>
    <oldFormula>'по отчету'!$3:$3</oldFormula>
  </rdn>
  <rdn rId="0" localSheetId="7" customView="1" name="Z_BD55AB36_084D_4C26_BAB2_482C24A270C8_.wvu.Rows" hidden="1" oldHidden="1">
    <formula>'по отчету'!$13:$13,'по отчету'!$16:$16,'по отчету'!$44:$45,'по отчету'!$48:$48,'по отчету'!$75:$75</formula>
    <oldFormula>'по отчету'!$13:$13,'по отчету'!$16:$16,'по отчету'!$44:$45,'по отчету'!$48:$48,'по отчету'!$75:$75</oldFormula>
  </rdn>
  <rcv guid="{BD55AB36-084D-4C26-BAB2-482C24A270C8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1:G1048576" start="0" length="0">
    <dxf>
      <border>
        <left/>
      </border>
    </dxf>
  </rfmt>
  <rfmt sheetId="1" sqref="G1:G1048576" start="0" length="0">
    <dxf>
      <border>
        <right/>
      </border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7" sId="1" numFmtId="4">
    <oc r="E68">
      <v>-3614485.6</v>
    </oc>
    <nc r="E68">
      <f>-3614485.6+2728540.8</f>
    </nc>
  </rcc>
  <rcc rId="498" sId="1" numFmtId="4">
    <oc r="E61">
      <v>2200000</v>
    </oc>
    <nc r="E61">
      <v>900000</v>
    </nc>
  </rcc>
  <rcc rId="499" sId="1" odxf="1" dxf="1">
    <nc r="F65">
      <f>E65-E64</f>
    </nc>
    <odxf>
      <numFmt numFmtId="0" formatCode="General"/>
    </odxf>
    <ndxf>
      <numFmt numFmtId="169" formatCode="#,##0.0_ ;\-#,##0.0\ "/>
    </ndxf>
  </rcc>
  <rcc rId="500" sId="1">
    <oc r="E5">
      <f>E6+E9+E13+E16+E20+E23+E24+E25+E26+E27+E28+E29+E30+E31</f>
    </oc>
    <nc r="E5">
      <f>E6+E9+E13+E16+E20+E23+E24+E25+E26+E27+E28+E29+E30+E31-F65</f>
    </nc>
  </rcc>
  <rcc rId="501" sId="1">
    <oc r="E74">
      <f>12801.7-155035.7</f>
    </oc>
    <nc r="E74">
      <f>12801.7</f>
    </nc>
  </rcc>
  <rcc rId="502" sId="1">
    <oc r="F65">
      <f>E65-E64</f>
    </oc>
    <nc r="F65">
      <f>3781432+402144.5</f>
    </nc>
  </rcc>
  <rcc rId="503" sId="1" odxf="1" dxf="1">
    <nc r="F4">
      <f>D5-E5</f>
    </nc>
    <odxf>
      <numFmt numFmtId="0" formatCode="General"/>
    </odxf>
    <ndxf>
      <numFmt numFmtId="169" formatCode="#,##0.0_ ;\-#,##0.0\ "/>
    </ndxf>
  </rcc>
  <rfmt sheetId="1" sqref="F74" start="0" length="0">
    <dxf>
      <font>
        <b/>
        <sz val="12"/>
      </font>
      <numFmt numFmtId="169" formatCode="#,##0.0_ ;\-#,##0.0\ "/>
    </dxf>
  </rfmt>
  <rcc rId="504" sId="1" numFmtId="4">
    <nc r="F74">
      <f>9525015.4+E67+E66</f>
    </nc>
  </rcc>
  <rcc rId="505" sId="1" odxf="1" dxf="1">
    <nc r="G74">
      <f>E5*25/100</f>
    </nc>
    <ndxf>
      <font>
        <b/>
        <sz val="12"/>
      </font>
      <numFmt numFmtId="169" formatCode="#,##0.0_ ;\-#,##0.0\ "/>
    </ndxf>
  </rcc>
  <rfmt sheetId="1" sqref="H74" start="0" length="0">
    <dxf>
      <numFmt numFmtId="169" formatCode="#,##0.0_ ;\-#,##0.0\ "/>
    </dxf>
  </rfmt>
  <rcc rId="506" sId="1" odxf="1" dxf="1">
    <nc r="H74">
      <f>F74-G74</f>
    </nc>
    <ndxf>
      <font>
        <b/>
        <sz val="12"/>
      </font>
    </ndxf>
  </rcc>
  <rcc rId="507" sId="1">
    <nc r="H73" t="inlineStr">
      <is>
        <t>снизить долг под 25%</t>
      </is>
    </nc>
  </rcc>
  <rrc rId="508" sId="1" ref="F1:F1048576" action="insertCol">
    <undo index="0" exp="area" ref3D="1" dr="$A$3:$XFD$3" dn="Z_0E91F95C_B82B_4A7A_9432_6E8B0967BE54_.wvu.PrintTitles" sId="1"/>
    <undo index="0" exp="area" ref3D="1" dr="$A$3:$XFD$3" dn="Заголовки_для_печати" sId="1"/>
    <undo index="0" exp="area" ref3D="1" dr="$A$3:$XFD$3" dn="Z_BD55AB36_084D_4C26_BAB2_482C24A270C8_.wvu.PrintTitles" sId="1"/>
  </rrc>
  <rcc rId="509" sId="1" numFmtId="4">
    <nc r="F6">
      <v>31687442</v>
    </nc>
  </rcc>
  <rcc rId="510" sId="1" numFmtId="4">
    <nc r="F7">
      <v>11583169.300000001</v>
    </nc>
  </rcc>
  <rcc rId="511" sId="1" numFmtId="4">
    <nc r="F8">
      <v>20104272.699999999</v>
    </nc>
  </rcc>
  <rcc rId="512" sId="1" numFmtId="4">
    <nc r="F9">
      <v>7018309.9000000004</v>
    </nc>
  </rcc>
  <rcc rId="513" sId="1" numFmtId="4">
    <nc r="F10">
      <v>7018309.9000000004</v>
    </nc>
  </rcc>
  <rcc rId="514" sId="1" numFmtId="4">
    <nc r="F11">
      <v>1611282.6</v>
    </nc>
  </rcc>
  <rcc rId="515" sId="1" numFmtId="4">
    <nc r="F12">
      <v>5407027.2999999998</v>
    </nc>
  </rcc>
  <rcc rId="516" sId="1" numFmtId="4">
    <nc r="F13">
      <v>4548626.3</v>
    </nc>
  </rcc>
  <rcc rId="517" sId="1" numFmtId="4">
    <nc r="F14">
      <v>4281193.2</v>
    </nc>
  </rcc>
  <rcc rId="518" sId="1" numFmtId="4">
    <nc r="F15">
      <v>267433.09999999998</v>
    </nc>
  </rcc>
  <rcc rId="519" sId="1" numFmtId="4">
    <nc r="F16">
      <v>4694014.3</v>
    </nc>
  </rcc>
  <rcc rId="520" sId="1" numFmtId="4">
    <nc r="F17">
      <v>3528564</v>
    </nc>
  </rcc>
  <rcc rId="521" sId="1" numFmtId="4">
    <nc r="F18">
      <v>1164778.3</v>
    </nc>
  </rcc>
  <rcc rId="522" sId="1" numFmtId="4">
    <nc r="F19">
      <v>672</v>
    </nc>
  </rcc>
  <rcc rId="523" sId="1" numFmtId="4">
    <nc r="F20">
      <v>2821882.3</v>
    </nc>
  </rcc>
  <rcc rId="524" sId="1" numFmtId="4">
    <nc r="F21">
      <v>2737074.3</v>
    </nc>
  </rcc>
  <rcc rId="525" sId="1" numFmtId="4">
    <nc r="F22">
      <v>84808</v>
    </nc>
  </rcc>
  <rcc rId="526" sId="1" numFmtId="4">
    <nc r="F23">
      <v>102274.9</v>
    </nc>
  </rcc>
  <rcc rId="527" sId="1" numFmtId="4">
    <nc r="F25">
      <v>467163</v>
    </nc>
  </rcc>
  <rcc rId="528" sId="1" numFmtId="4">
    <nc r="F26">
      <v>1353185.1</v>
    </nc>
  </rcc>
  <rcc rId="529" sId="1" numFmtId="4">
    <nc r="F27">
      <v>203813</v>
    </nc>
  </rcc>
  <rcc rId="530" sId="1" numFmtId="4">
    <nc r="F28">
      <v>168050.2</v>
    </nc>
  </rcc>
  <rcc rId="531" sId="1" numFmtId="4">
    <nc r="F29">
      <v>7</v>
    </nc>
  </rcc>
  <rcc rId="532" sId="1" numFmtId="4">
    <nc r="F30">
      <v>865528.8</v>
    </nc>
  </rcc>
  <rcc rId="533" sId="1" numFmtId="4">
    <nc r="F31">
      <v>10000.299999999999</v>
    </nc>
  </rcc>
  <rcc rId="534" sId="1" numFmtId="4">
    <nc r="F32">
      <v>29320970</v>
    </nc>
  </rcc>
  <rcc rId="535" sId="1" numFmtId="4">
    <nc r="F33">
      <v>23604141</v>
    </nc>
  </rcc>
  <rcc rId="536" sId="1" numFmtId="4">
    <nc r="F34">
      <v>8250677.7999999998</v>
    </nc>
  </rcc>
  <rcc rId="537" sId="1" numFmtId="4">
    <nc r="F35">
      <v>7163796.9000000004</v>
    </nc>
  </rcc>
  <rcc rId="538" sId="1" numFmtId="4">
    <nc r="F36">
      <v>943515</v>
    </nc>
  </rcc>
  <rcc rId="539" sId="1" numFmtId="4">
    <nc r="F37">
      <v>143365.9</v>
    </nc>
  </rcc>
  <rcc rId="540" sId="1" numFmtId="4">
    <nc r="F38">
      <v>11357111.5</v>
    </nc>
  </rcc>
  <rcc rId="541" sId="1" numFmtId="4">
    <nc r="F39">
      <v>2779819.9</v>
    </nc>
  </rcc>
  <rcc rId="542" sId="1" numFmtId="4">
    <nc r="F40">
      <v>1216531.8</v>
    </nc>
  </rcc>
  <rcc rId="543" sId="1" numFmtId="4">
    <nc r="F41">
      <v>5254776.2</v>
    </nc>
  </rcc>
  <rcc rId="544" sId="1" numFmtId="4">
    <nc r="F42">
      <v>4975.8</v>
    </nc>
  </rcc>
  <rcc rId="545" sId="1" numFmtId="4">
    <nc r="F43">
      <v>202041.4</v>
    </nc>
  </rcc>
  <rcc rId="546" sId="1" numFmtId="4">
    <nc r="F44">
      <v>421451.7</v>
    </nc>
  </rcc>
  <rcc rId="547" sId="1" numFmtId="4">
    <nc r="F45">
      <v>-166416</v>
    </nc>
  </rcc>
  <rcc rId="548" sId="1" numFmtId="4">
    <nc r="F48">
      <v>4857330.0999999996</v>
    </nc>
  </rcc>
  <rcc rId="549" sId="1" numFmtId="4">
    <nc r="F49">
      <v>30159.4</v>
    </nc>
  </rcc>
  <rcc rId="550" sId="1" numFmtId="4">
    <nc r="F50">
      <v>1207107</v>
    </nc>
  </rcc>
  <rcc rId="551" sId="1" numFmtId="4">
    <nc r="F51">
      <v>15924709.199999999</v>
    </nc>
  </rcc>
  <rcc rId="552" sId="1" numFmtId="4">
    <nc r="F52">
      <v>9455041.0999999996</v>
    </nc>
  </rcc>
  <rcc rId="553" sId="1" numFmtId="4">
    <nc r="F53">
      <v>7935220.2999999998</v>
    </nc>
  </rcc>
  <rcc rId="554" sId="1" numFmtId="4">
    <nc r="F54">
      <v>88453.7</v>
    </nc>
  </rcc>
  <rcc rId="555" sId="1" numFmtId="4">
    <nc r="F55">
      <v>19277090.699999999</v>
    </nc>
  </rcc>
  <rcc rId="556" sId="1" numFmtId="4">
    <nc r="F56">
      <v>2354659.9</v>
    </nc>
  </rcc>
  <rcc rId="557" sId="1" numFmtId="4">
    <nc r="F57">
      <v>7183649.9000000004</v>
    </nc>
  </rcc>
  <rcc rId="558" sId="1" numFmtId="4">
    <nc r="F58">
      <v>20210227.899999999</v>
    </nc>
  </rcc>
  <rcc rId="559" sId="1" numFmtId="4">
    <nc r="F59">
      <v>885212.8</v>
    </nc>
  </rcc>
  <rcc rId="560" sId="1" numFmtId="4">
    <nc r="F60">
      <v>291592.59999999998</v>
    </nc>
  </rcc>
  <rcc rId="561" sId="1" numFmtId="4">
    <nc r="F61">
      <v>900000</v>
    </nc>
  </rcc>
  <rcc rId="562" sId="1" numFmtId="4">
    <nc r="F62">
      <v>1713709.1</v>
    </nc>
  </rcc>
  <rcc rId="563" sId="1" numFmtId="4">
    <nc r="F63">
      <v>82859122.599999994</v>
    </nc>
  </rcc>
  <rcc rId="564" sId="1" numFmtId="4">
    <nc r="F66">
      <v>-10</v>
    </nc>
  </rcc>
  <rcc rId="565" sId="1" numFmtId="4">
    <nc r="F68">
      <v>-885944.8</v>
    </nc>
  </rcc>
  <rcc rId="566" sId="1" numFmtId="4">
    <nc r="F69">
      <v>694516.3</v>
    </nc>
  </rcc>
  <rcc rId="567" sId="1" numFmtId="4">
    <nc r="F70">
      <v>0</v>
    </nc>
  </rcc>
  <rcc rId="568" sId="1" numFmtId="4">
    <nc r="F72">
      <v>694516.3</v>
    </nc>
  </rcc>
  <rcc rId="569" sId="1" numFmtId="4">
    <nc r="F74">
      <v>12801.7</v>
    </nc>
  </rcc>
  <rfmt sheetId="1" sqref="F3" start="0" length="0">
    <dxf>
      <border>
        <top style="thin">
          <color indexed="64"/>
        </top>
      </border>
    </dxf>
  </rfmt>
  <rfmt sheetId="1" sqref="F3:F74" start="0" length="0">
    <dxf>
      <border>
        <right style="thin">
          <color indexed="64"/>
        </right>
      </border>
    </dxf>
  </rfmt>
  <rfmt sheetId="1" sqref="F74" start="0" length="0">
    <dxf>
      <border>
        <bottom style="thin">
          <color indexed="64"/>
        </bottom>
      </border>
    </dxf>
  </rfmt>
  <rfmt sheetId="1" sqref="F3:F7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570" sId="1">
    <nc r="F3" t="inlineStr">
      <is>
        <t>Ожидаемое исполнение 
в 2025 году  под 25%</t>
      </is>
    </nc>
  </rcc>
  <rcc rId="571" sId="1" odxf="1" dxf="1" numFmtId="4">
    <nc r="F65">
      <f>F66+F67+F68+F69+F74</f>
    </nc>
    <ndxf/>
  </rcc>
  <rcc rId="572" sId="1">
    <nc r="G5">
      <v>1045894.1</v>
    </nc>
  </rcc>
  <rfmt sheetId="1" sqref="F64" start="0" length="0">
    <dxf/>
  </rfmt>
  <rcc rId="573" sId="1">
    <nc r="F64">
      <f>F46-F63</f>
    </nc>
  </rcc>
  <rcc rId="574" sId="1" odxf="1" dxf="1" numFmtId="4">
    <nc r="F46">
      <f>F32+F5</f>
    </nc>
    <ndxf/>
  </rcc>
  <rcc rId="575" sId="1" odxf="1" dxf="1">
    <nc r="H4">
      <f>D5-F5</f>
    </nc>
    <odxf>
      <numFmt numFmtId="0" formatCode="General"/>
    </odxf>
    <ndxf>
      <numFmt numFmtId="169" formatCode="#,##0.0_ ;\-#,##0.0\ "/>
    </ndxf>
  </rcc>
  <rfmt sheetId="1" sqref="G75" start="0" length="0">
    <dxf>
      <font>
        <b/>
        <sz val="12"/>
      </font>
      <numFmt numFmtId="169" formatCode="#,##0.0_ ;\-#,##0.0\ "/>
    </dxf>
  </rfmt>
  <rcc rId="576" sId="1">
    <nc r="G75">
      <f>9525015.4+F67+F66</f>
    </nc>
  </rcc>
  <rfmt sheetId="1" sqref="H75" start="0" length="0">
    <dxf>
      <font>
        <b/>
        <sz val="12"/>
      </font>
      <numFmt numFmtId="169" formatCode="#,##0.0_ ;\-#,##0.0\ "/>
    </dxf>
  </rfmt>
  <rcc rId="577" sId="1">
    <nc r="H75">
      <f>F5*25/100</f>
    </nc>
  </rcc>
  <rrc rId="578" sId="1" eol="1" ref="A77:XFD77" action="insertRow"/>
  <rfmt sheetId="1" sqref="H77" start="0" length="0">
    <dxf>
      <numFmt numFmtId="169" formatCode="#,##0.0_ ;\-#,##0.0\ "/>
    </dxf>
  </rfmt>
  <rfmt sheetId="1" sqref="G67" start="0" length="0">
    <dxf>
      <font>
        <b/>
        <sz val="12"/>
      </font>
      <numFmt numFmtId="169" formatCode="#,##0.0_ ;\-#,##0.0\ "/>
    </dxf>
  </rfmt>
  <rcc rId="579" sId="1">
    <nc r="G67">
      <f>(9525015.4+F67+F66)/F5*100</f>
    </nc>
  </rcc>
  <rfmt sheetId="1" sqref="G67">
    <dxf>
      <numFmt numFmtId="166" formatCode="#,##0.00_ ;\-#,##0.00\ "/>
    </dxf>
  </rfmt>
  <rfmt sheetId="1" sqref="G67">
    <dxf>
      <numFmt numFmtId="170" formatCode="#,##0.000_ ;\-#,##0.000\ "/>
    </dxf>
  </rfmt>
  <rcc rId="580" sId="1">
    <nc r="F67">
      <f>3960068.8-1045894.1+200000</f>
    </nc>
  </rcc>
  <rcc rId="581" sId="1">
    <nc r="F5">
      <f>49756720.6+1045894.1-200000</f>
    </nc>
  </rcc>
  <rrc rId="582" sId="1" ref="G1:G1048576" action="insertCol">
    <undo index="0" exp="area" ref3D="1" dr="$A$3:$XFD$3" dn="Z_0E91F95C_B82B_4A7A_9432_6E8B0967BE54_.wvu.PrintTitles" sId="1"/>
    <undo index="0" exp="area" ref3D="1" dr="$A$3:$XFD$3" dn="Заголовки_для_печати" sId="1"/>
    <undo index="0" exp="area" ref3D="1" dr="$A$3:$XFD$3" dn="Z_BD55AB36_084D_4C26_BAB2_482C24A270C8_.wvu.PrintTitles" sId="1"/>
  </rrc>
  <rfmt sheetId="1" s="1" sqref="G6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7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8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9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10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11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12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13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14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15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16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17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18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19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20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21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22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23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24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25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26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27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28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29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30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31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qref="G32" start="0" length="0">
    <dxf>
      <border outline="0">
        <top/>
        <bottom/>
      </border>
    </dxf>
  </rfmt>
  <rfmt sheetId="1" sqref="G33" start="0" length="0">
    <dxf>
      <font>
        <b/>
        <sz val="12"/>
      </font>
      <border outline="0">
        <top/>
        <bottom/>
      </border>
    </dxf>
  </rfmt>
  <rfmt sheetId="1" s="1" sqref="G34" start="0" length="0">
    <dxf>
      <font>
        <b/>
        <sz val="12"/>
        <color auto="1"/>
        <name val="Times New Roman"/>
        <scheme val="none"/>
      </font>
      <alignment wrapText="0" readingOrder="0"/>
      <border outline="0">
        <top/>
        <bottom/>
      </border>
    </dxf>
  </rfmt>
  <rfmt sheetId="1" s="1" sqref="G35" start="0" length="0">
    <dxf>
      <font>
        <b/>
        <sz val="12"/>
        <color auto="1"/>
        <name val="Times New Roman"/>
        <scheme val="none"/>
      </font>
      <alignment wrapText="0" readingOrder="0"/>
      <border outline="0">
        <top/>
        <bottom/>
      </border>
    </dxf>
  </rfmt>
  <rfmt sheetId="1" s="1" sqref="G36" start="0" length="0">
    <dxf>
      <font>
        <b/>
        <sz val="12"/>
        <color auto="1"/>
        <name val="Times New Roman"/>
        <scheme val="none"/>
      </font>
      <alignment wrapText="0" readingOrder="0"/>
      <border outline="0">
        <top/>
        <bottom/>
      </border>
    </dxf>
  </rfmt>
  <rfmt sheetId="1" s="1" sqref="G37" start="0" length="0">
    <dxf>
      <font>
        <b/>
        <sz val="12"/>
        <color auto="1"/>
        <name val="Times New Roman"/>
        <scheme val="none"/>
      </font>
      <alignment wrapText="0" readingOrder="0"/>
      <border outline="0">
        <top/>
        <bottom/>
      </border>
    </dxf>
  </rfmt>
  <rfmt sheetId="1" s="1" sqref="G38" start="0" length="0">
    <dxf>
      <font>
        <b/>
        <sz val="12"/>
        <color auto="1"/>
        <name val="Times New Roman"/>
        <scheme val="none"/>
      </font>
      <alignment wrapText="0" readingOrder="0"/>
      <border outline="0">
        <top/>
        <bottom/>
      </border>
    </dxf>
  </rfmt>
  <rfmt sheetId="1" s="1" sqref="G39" start="0" length="0">
    <dxf>
      <font>
        <b/>
        <sz val="12"/>
        <color auto="1"/>
        <name val="Times New Roman"/>
        <scheme val="none"/>
      </font>
      <alignment wrapText="0" readingOrder="0"/>
      <border outline="0">
        <top/>
        <bottom/>
      </border>
    </dxf>
  </rfmt>
  <rfmt sheetId="1" s="1" sqref="G40" start="0" length="0">
    <dxf>
      <font>
        <b/>
        <sz val="12"/>
        <color auto="1"/>
        <name val="Times New Roman"/>
        <scheme val="none"/>
      </font>
      <alignment wrapText="0" readingOrder="0"/>
      <border outline="0">
        <top/>
        <bottom/>
      </border>
    </dxf>
  </rfmt>
  <rfmt sheetId="1" s="1" sqref="G41" start="0" length="0">
    <dxf>
      <font>
        <b/>
        <sz val="12"/>
        <color auto="1"/>
        <name val="Times New Roman"/>
        <scheme val="none"/>
      </font>
      <alignment wrapText="0" readingOrder="0"/>
      <border outline="0">
        <top/>
        <bottom/>
      </border>
    </dxf>
  </rfmt>
  <rfmt sheetId="1" s="1" sqref="G42" start="0" length="0">
    <dxf>
      <font>
        <b/>
        <sz val="12"/>
        <color auto="1"/>
        <name val="Times New Roman"/>
        <scheme val="none"/>
      </font>
      <alignment wrapText="0" readingOrder="0"/>
      <border outline="0">
        <top/>
        <bottom/>
      </border>
    </dxf>
  </rfmt>
  <rfmt sheetId="1" s="1" sqref="G43" start="0" length="0">
    <dxf>
      <font>
        <b/>
        <sz val="12"/>
        <color auto="1"/>
        <name val="Times New Roman"/>
        <scheme val="none"/>
      </font>
      <alignment wrapText="0" readingOrder="0"/>
      <border outline="0">
        <top/>
        <bottom/>
      </border>
    </dxf>
  </rfmt>
  <rfmt sheetId="1" s="1" sqref="G44" start="0" length="0">
    <dxf>
      <font>
        <b/>
        <sz val="12"/>
        <color auto="1"/>
        <name val="Times New Roman"/>
        <scheme val="none"/>
      </font>
      <alignment wrapText="0" readingOrder="0"/>
      <border outline="0">
        <top/>
        <bottom/>
      </border>
    </dxf>
  </rfmt>
  <rfmt sheetId="1" s="1" sqref="G45" start="0" length="0">
    <dxf>
      <font>
        <b/>
        <sz val="12"/>
        <color auto="1"/>
        <name val="Times New Roman"/>
        <scheme val="none"/>
      </font>
      <alignment wrapText="0" readingOrder="0"/>
      <border outline="0">
        <top/>
        <bottom/>
      </border>
    </dxf>
  </rfmt>
  <rfmt sheetId="1" sqref="G46" start="0" length="0">
    <dxf>
      <alignment wrapText="0" readingOrder="0"/>
    </dxf>
  </rfmt>
  <rfmt sheetId="1" sqref="G47" start="0" length="0">
    <dxf>
      <font>
        <b/>
        <sz val="12"/>
      </font>
      <numFmt numFmtId="167" formatCode="[&gt;=0.005]#,##0.0;[&lt;=-0.005]\-#,##0.0;#,##0.0"/>
    </dxf>
  </rfmt>
  <rfmt sheetId="1" s="1" sqref="G48" start="0" length="0">
    <dxf>
      <font>
        <b/>
        <sz val="12"/>
        <color auto="1"/>
        <name val="Times New Roman"/>
        <scheme val="none"/>
      </font>
      <fill>
        <patternFill patternType="none">
          <bgColor indexed="65"/>
        </patternFill>
      </fill>
      <alignment wrapText="0" readingOrder="0"/>
    </dxf>
  </rfmt>
  <rfmt sheetId="1" s="1" sqref="G49" start="0" length="0">
    <dxf>
      <font>
        <b/>
        <sz val="12"/>
        <color auto="1"/>
        <name val="Times New Roman"/>
        <scheme val="none"/>
      </font>
      <fill>
        <patternFill patternType="none">
          <bgColor indexed="65"/>
        </patternFill>
      </fill>
      <alignment wrapText="0" readingOrder="0"/>
    </dxf>
  </rfmt>
  <rfmt sheetId="1" s="1" sqref="G50" start="0" length="0">
    <dxf>
      <font>
        <b/>
        <sz val="12"/>
        <color auto="1"/>
        <name val="Times New Roman"/>
        <scheme val="none"/>
      </font>
      <fill>
        <patternFill patternType="none">
          <bgColor indexed="65"/>
        </patternFill>
      </fill>
      <alignment wrapText="0" readingOrder="0"/>
    </dxf>
  </rfmt>
  <rfmt sheetId="1" s="1" sqref="G51" start="0" length="0">
    <dxf>
      <font>
        <b/>
        <sz val="12"/>
        <color auto="1"/>
        <name val="Times New Roman"/>
        <scheme val="none"/>
      </font>
      <fill>
        <patternFill patternType="none">
          <bgColor indexed="65"/>
        </patternFill>
      </fill>
      <alignment wrapText="0" readingOrder="0"/>
    </dxf>
  </rfmt>
  <rfmt sheetId="1" s="1" sqref="G52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53" start="0" length="0">
    <dxf>
      <font>
        <b/>
        <sz val="12"/>
        <color auto="1"/>
        <name val="Times New Roman"/>
        <scheme val="none"/>
      </font>
      <fill>
        <patternFill patternType="none">
          <bgColor indexed="65"/>
        </patternFill>
      </fill>
      <alignment wrapText="0" readingOrder="0"/>
    </dxf>
  </rfmt>
  <rfmt sheetId="1" s="1" sqref="G54" start="0" length="0">
    <dxf>
      <font>
        <b/>
        <sz val="12"/>
        <color auto="1"/>
        <name val="Times New Roman"/>
        <scheme val="none"/>
      </font>
      <fill>
        <patternFill patternType="none">
          <bgColor indexed="65"/>
        </patternFill>
      </fill>
      <alignment wrapText="0" readingOrder="0"/>
    </dxf>
  </rfmt>
  <rfmt sheetId="1" s="1" sqref="G55" start="0" length="0">
    <dxf>
      <font>
        <b/>
        <sz val="12"/>
        <color auto="1"/>
        <name val="Times New Roman"/>
        <scheme val="none"/>
      </font>
      <fill>
        <patternFill patternType="none">
          <bgColor indexed="65"/>
        </patternFill>
      </fill>
      <alignment wrapText="0" readingOrder="0"/>
    </dxf>
  </rfmt>
  <rfmt sheetId="1" s="1" sqref="G56" start="0" length="0">
    <dxf>
      <font>
        <b/>
        <sz val="12"/>
        <color auto="1"/>
        <name val="Times New Roman"/>
        <scheme val="none"/>
      </font>
      <fill>
        <patternFill patternType="none">
          <bgColor indexed="65"/>
        </patternFill>
      </fill>
      <alignment wrapText="0" readingOrder="0"/>
    </dxf>
  </rfmt>
  <rfmt sheetId="1" s="1" sqref="G57" start="0" length="0">
    <dxf>
      <font>
        <b/>
        <sz val="12"/>
        <color auto="1"/>
        <name val="Times New Roman"/>
        <scheme val="none"/>
      </font>
      <fill>
        <patternFill patternType="none">
          <bgColor indexed="65"/>
        </patternFill>
      </fill>
      <alignment wrapText="0" readingOrder="0"/>
    </dxf>
  </rfmt>
  <rfmt sheetId="1" s="1" sqref="G58" start="0" length="0">
    <dxf>
      <font>
        <b/>
        <sz val="12"/>
        <color auto="1"/>
        <name val="Times New Roman"/>
        <scheme val="none"/>
      </font>
      <fill>
        <patternFill patternType="none">
          <bgColor indexed="65"/>
        </patternFill>
      </fill>
      <alignment wrapText="0" readingOrder="0"/>
    </dxf>
  </rfmt>
  <rfmt sheetId="1" s="1" sqref="G59" start="0" length="0">
    <dxf>
      <font>
        <b/>
        <sz val="12"/>
        <color auto="1"/>
        <name val="Times New Roman"/>
        <scheme val="none"/>
      </font>
      <fill>
        <patternFill patternType="none">
          <bgColor indexed="65"/>
        </patternFill>
      </fill>
      <alignment wrapText="0" readingOrder="0"/>
    </dxf>
  </rfmt>
  <rfmt sheetId="1" s="1" sqref="G60" start="0" length="0">
    <dxf>
      <font>
        <b/>
        <sz val="12"/>
        <color auto="1"/>
        <name val="Times New Roman"/>
        <scheme val="none"/>
      </font>
      <fill>
        <patternFill patternType="none">
          <bgColor indexed="65"/>
        </patternFill>
      </fill>
      <alignment wrapText="0" readingOrder="0"/>
    </dxf>
  </rfmt>
  <rfmt sheetId="1" s="1" sqref="G61" start="0" length="0">
    <dxf>
      <font>
        <b/>
        <sz val="12"/>
        <color auto="1"/>
        <name val="Times New Roman"/>
        <scheme val="none"/>
      </font>
      <fill>
        <patternFill patternType="none">
          <bgColor indexed="65"/>
        </patternFill>
      </fill>
      <alignment wrapText="0" readingOrder="0"/>
    </dxf>
  </rfmt>
  <rfmt sheetId="1" s="1" sqref="G62" start="0" length="0">
    <dxf>
      <font>
        <b/>
        <sz val="12"/>
        <color auto="1"/>
        <name val="Times New Roman"/>
        <scheme val="none"/>
      </font>
      <fill>
        <patternFill patternType="none">
          <bgColor indexed="65"/>
        </patternFill>
      </fill>
      <alignment wrapText="0" readingOrder="0"/>
    </dxf>
  </rfmt>
  <rfmt sheetId="1" sqref="G63" start="0" length="0">
    <dxf>
      <fill>
        <patternFill patternType="none">
          <bgColor indexed="65"/>
        </patternFill>
      </fill>
      <alignment vertical="center" wrapText="0" readingOrder="0"/>
    </dxf>
  </rfmt>
  <rfmt sheetId="1" sqref="G64" start="0" length="0">
    <dxf>
      <numFmt numFmtId="167" formatCode="[&gt;=0.005]#,##0.0;[&lt;=-0.005]\-#,##0.0;#,##0.0"/>
      <fill>
        <patternFill patternType="none">
          <bgColor indexed="65"/>
        </patternFill>
      </fill>
      <alignment vertical="center" wrapText="0" readingOrder="0"/>
    </dxf>
  </rfmt>
  <rfmt sheetId="1" sqref="G65" start="0" length="0">
    <dxf>
      <fill>
        <patternFill patternType="none">
          <bgColor indexed="65"/>
        </patternFill>
      </fill>
    </dxf>
  </rfmt>
  <rfmt sheetId="1" s="1" sqref="G66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67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68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69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70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71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72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73" start="0" length="0">
    <dxf>
      <font>
        <b/>
        <sz val="12"/>
        <color auto="1"/>
        <name val="Times New Roman"/>
        <scheme val="none"/>
      </font>
      <alignment wrapText="0" readingOrder="0"/>
    </dxf>
  </rfmt>
  <rfmt sheetId="1" s="1" sqref="G74" start="0" length="0">
    <dxf>
      <font>
        <b/>
        <sz val="12"/>
        <color auto="1"/>
        <name val="Times New Roman"/>
        <scheme val="none"/>
      </font>
      <alignment wrapText="0" readingOrder="0"/>
    </dxf>
  </rfmt>
  <rcc rId="583" sId="1" odxf="1" dxf="1">
    <nc r="G3" t="inlineStr">
      <is>
        <t>Отклонение от СБР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1" sqref="G4" start="0" length="0"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584" sId="1" odxf="1" dxf="1">
    <nc r="G5">
      <f>F5-D5</f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1" s="1" sqref="G6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7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8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9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10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11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12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13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14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15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16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17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18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19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20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21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22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23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24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25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26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27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28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29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30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31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585" sId="1" odxf="1" dxf="1">
    <nc r="G32">
      <f>F32-D32</f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86" sId="1" odxf="1" dxf="1">
    <nc r="G33">
      <f>F33-D33</f>
    </nc>
    <ndxf>
      <font>
        <b val="0"/>
        <sz val="12"/>
      </font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87" sId="1" odxf="1" s="1" dxf="1">
    <nc r="G34">
      <f>F34-D34</f>
    </nc>
    <n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88" sId="1" odxf="1" s="1" dxf="1">
    <nc r="G35">
      <f>F35-D35</f>
    </nc>
    <n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89" sId="1" odxf="1" s="1" dxf="1">
    <nc r="G36">
      <f>F36-D36</f>
    </nc>
    <n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90" sId="1" odxf="1" s="1" dxf="1">
    <nc r="G37">
      <f>F37-D37</f>
    </nc>
    <n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91" sId="1" odxf="1" s="1" dxf="1">
    <nc r="G38">
      <f>F38-D38</f>
    </nc>
    <n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92" sId="1" odxf="1" s="1" dxf="1">
    <nc r="G39">
      <f>F39-D39</f>
    </nc>
    <n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93" sId="1" odxf="1" s="1" dxf="1">
    <nc r="G40">
      <f>F40-D40</f>
    </nc>
    <n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94" sId="1" odxf="1" s="1" dxf="1">
    <nc r="G41">
      <f>F41-D41</f>
    </nc>
    <n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95" sId="1" odxf="1" s="1" dxf="1">
    <nc r="G42">
      <f>F42-D42</f>
    </nc>
    <n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96" sId="1" odxf="1" s="1" dxf="1">
    <nc r="G43">
      <f>F43-D43</f>
    </nc>
    <n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97" sId="1" odxf="1" s="1" dxf="1">
    <nc r="G44">
      <f>F44-D44</f>
    </nc>
    <n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98" sId="1" odxf="1" s="1" dxf="1">
    <nc r="G45">
      <f>F45-D45</f>
    </nc>
    <n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99" sId="1" odxf="1" dxf="1">
    <nc r="G46">
      <f>F46-D46</f>
    </nc>
    <ndxf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0" sId="1" odxf="1" dxf="1">
    <nc r="G47">
      <f>F47-D47</f>
    </nc>
    <ndxf>
      <font>
        <b val="0"/>
        <sz val="12"/>
      </font>
      <numFmt numFmtId="165" formatCode="#,##0.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01" sId="1" odxf="1" s="1" dxf="1">
    <nc r="G48">
      <f>F48-D48</f>
    </nc>
    <ndxf>
      <font>
        <b val="0"/>
        <sz val="12"/>
        <color auto="1"/>
        <name val="Times New Roman"/>
        <scheme val="none"/>
      </font>
      <fill>
        <patternFill patternType="solid">
          <bgColor theme="0"/>
        </patternFill>
      </fill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02" sId="1" odxf="1" s="1" dxf="1">
    <nc r="G49">
      <f>F49-D49</f>
    </nc>
    <ndxf>
      <font>
        <b val="0"/>
        <sz val="12"/>
        <color auto="1"/>
        <name val="Times New Roman"/>
        <scheme val="none"/>
      </font>
      <fill>
        <patternFill patternType="solid">
          <bgColor theme="0"/>
        </patternFill>
      </fill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03" sId="1" odxf="1" s="1" dxf="1">
    <nc r="G50">
      <f>F50-D50</f>
    </nc>
    <ndxf>
      <font>
        <b val="0"/>
        <sz val="12"/>
        <color auto="1"/>
        <name val="Times New Roman"/>
        <scheme val="none"/>
      </font>
      <fill>
        <patternFill patternType="solid">
          <bgColor theme="0"/>
        </patternFill>
      </fill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04" sId="1" odxf="1" s="1" dxf="1">
    <nc r="G51">
      <f>F51-D51</f>
    </nc>
    <ndxf>
      <font>
        <b val="0"/>
        <sz val="12"/>
        <color auto="1"/>
        <name val="Times New Roman"/>
        <scheme val="none"/>
      </font>
      <fill>
        <patternFill patternType="solid">
          <bgColor theme="0"/>
        </patternFill>
      </fill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05" sId="1" odxf="1" s="1" dxf="1">
    <nc r="G52">
      <f>F52-D52</f>
    </nc>
    <n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06" sId="1" odxf="1" s="1" dxf="1">
    <nc r="G53">
      <f>F53-D53</f>
    </nc>
    <ndxf>
      <font>
        <b val="0"/>
        <sz val="12"/>
        <color auto="1"/>
        <name val="Times New Roman"/>
        <scheme val="none"/>
      </font>
      <fill>
        <patternFill patternType="solid">
          <bgColor theme="0"/>
        </patternFill>
      </fill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07" sId="1" odxf="1" s="1" dxf="1">
    <nc r="G54">
      <f>F54-D54</f>
    </nc>
    <ndxf>
      <font>
        <b val="0"/>
        <sz val="12"/>
        <color auto="1"/>
        <name val="Times New Roman"/>
        <scheme val="none"/>
      </font>
      <fill>
        <patternFill patternType="solid">
          <bgColor theme="0"/>
        </patternFill>
      </fill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08" sId="1" odxf="1" s="1" dxf="1">
    <nc r="G55">
      <f>F55-D55</f>
    </nc>
    <ndxf>
      <font>
        <b val="0"/>
        <sz val="12"/>
        <color auto="1"/>
        <name val="Times New Roman"/>
        <scheme val="none"/>
      </font>
      <fill>
        <patternFill patternType="solid">
          <bgColor theme="0"/>
        </patternFill>
      </fill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09" sId="1" odxf="1" s="1" dxf="1">
    <nc r="G56">
      <f>F56-D56</f>
    </nc>
    <ndxf>
      <font>
        <b val="0"/>
        <sz val="12"/>
        <color auto="1"/>
        <name val="Times New Roman"/>
        <scheme val="none"/>
      </font>
      <fill>
        <patternFill patternType="solid">
          <bgColor theme="0"/>
        </patternFill>
      </fill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0" sId="1" odxf="1" s="1" dxf="1">
    <nc r="G57">
      <f>F57-D57</f>
    </nc>
    <ndxf>
      <font>
        <b val="0"/>
        <sz val="12"/>
        <color auto="1"/>
        <name val="Times New Roman"/>
        <scheme val="none"/>
      </font>
      <fill>
        <patternFill patternType="solid">
          <bgColor theme="0"/>
        </patternFill>
      </fill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1" sId="1" odxf="1" s="1" dxf="1">
    <nc r="G58">
      <f>F58-D58</f>
    </nc>
    <ndxf>
      <font>
        <b val="0"/>
        <sz val="12"/>
        <color auto="1"/>
        <name val="Times New Roman"/>
        <scheme val="none"/>
      </font>
      <fill>
        <patternFill patternType="solid">
          <bgColor theme="0"/>
        </patternFill>
      </fill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2" sId="1" odxf="1" s="1" dxf="1">
    <nc r="G59">
      <f>F59-D59</f>
    </nc>
    <ndxf>
      <font>
        <b val="0"/>
        <sz val="12"/>
        <color auto="1"/>
        <name val="Times New Roman"/>
        <scheme val="none"/>
      </font>
      <fill>
        <patternFill patternType="solid">
          <bgColor theme="0"/>
        </patternFill>
      </fill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3" sId="1" odxf="1" s="1" dxf="1">
    <nc r="G60">
      <f>F60-D60</f>
    </nc>
    <ndxf>
      <font>
        <b val="0"/>
        <sz val="12"/>
        <color auto="1"/>
        <name val="Times New Roman"/>
        <scheme val="none"/>
      </font>
      <fill>
        <patternFill patternType="solid">
          <bgColor theme="0"/>
        </patternFill>
      </fill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4" sId="1" odxf="1" s="1" dxf="1">
    <nc r="G61">
      <f>F61-D61</f>
    </nc>
    <ndxf>
      <font>
        <b val="0"/>
        <sz val="12"/>
        <color auto="1"/>
        <name val="Times New Roman"/>
        <scheme val="none"/>
      </font>
      <fill>
        <patternFill patternType="solid">
          <bgColor theme="0"/>
        </patternFill>
      </fill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5" sId="1" odxf="1" s="1" dxf="1">
    <nc r="G62">
      <f>F62-D62</f>
    </nc>
    <ndxf>
      <font>
        <b val="0"/>
        <sz val="12"/>
        <color auto="1"/>
        <name val="Times New Roman"/>
        <scheme val="none"/>
      </font>
      <fill>
        <patternFill patternType="solid">
          <bgColor theme="0"/>
        </patternFill>
      </fill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6" sId="1" odxf="1" dxf="1">
    <nc r="G63">
      <f>F63-D63</f>
    </nc>
    <ndxf>
      <fill>
        <patternFill patternType="solid">
          <bgColor theme="0"/>
        </patternFill>
      </fill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7" sId="1" odxf="1" dxf="1">
    <nc r="G64">
      <f>F64-D64</f>
    </nc>
    <ndxf>
      <numFmt numFmtId="165" formatCode="#,##0.0"/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8" sId="1" odxf="1" dxf="1">
    <nc r="G65">
      <f>F65-D65</f>
    </nc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9" sId="1" odxf="1" s="1" dxf="1">
    <nc r="G66">
      <f>F66-D66</f>
    </nc>
    <n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1" s="1" sqref="G67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="1" sqref="G68" start="0" length="0">
    <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620" sId="1" odxf="1" s="1" dxf="1">
    <nc r="G69">
      <f>F69-D69</f>
    </nc>
    <n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1" sId="1" odxf="1" s="1" dxf="1">
    <nc r="G70">
      <f>F70-D70</f>
    </nc>
    <n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2" sId="1" odxf="1" s="1" dxf="1">
    <nc r="G71">
      <f>F71-D71</f>
    </nc>
    <n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3" sId="1" odxf="1" s="1" dxf="1">
    <nc r="G72">
      <f>F72-D72</f>
    </nc>
    <n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4" sId="1" odxf="1" s="1" dxf="1">
    <nc r="G73">
      <f>F73-D73</f>
    </nc>
    <n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5" sId="1" odxf="1" s="1" dxf="1">
    <nc r="G74">
      <f>F74-D74</f>
    </nc>
    <ndxf>
      <font>
        <b val="0"/>
        <sz val="12"/>
        <color auto="1"/>
        <name val="Times New Roman"/>
        <scheme val="none"/>
      </font>
      <alignment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6" sId="1">
    <nc r="G67">
      <f>F67-C67</f>
    </nc>
  </rcc>
  <rcc rId="627" sId="1">
    <nc r="G68">
      <f>F68-C68</f>
    </nc>
  </rcc>
  <rcv guid="{BD55AB36-084D-4C26-BAB2-482C24A270C8}" action="delete"/>
  <rdn rId="0" localSheetId="1" customView="1" name="Z_BD55AB36_084D_4C26_BAB2_482C24A270C8_.wvu.PrintArea" hidden="1" oldHidden="1">
    <formula>'ожид.оценка 2024'!$A$1:$G$74</formula>
    <oldFormula>'ожид.оценка 2024'!$A$1:$E$74</oldFormula>
  </rdn>
  <rdn rId="0" localSheetId="1" customView="1" name="Z_BD55AB36_084D_4C26_BAB2_482C24A270C8_.wvu.PrintTitles" hidden="1" oldHidden="1">
    <formula>'ожид.оценка 2024'!$3:$3</formula>
    <oldFormula>'ожид.оценка 2024'!$3:$3</oldFormula>
  </rdn>
  <rdn rId="0" localSheetId="2" customView="1" name="Z_BD55AB36_084D_4C26_BAB2_482C24A270C8_.wvu.PrintArea" hidden="1" oldHidden="1">
    <formula>'по отчету отправка'!$A$1:$C$75</formula>
    <oldFormula>'по отчету отправка'!$A$1:$C$75</oldFormula>
  </rdn>
  <rdn rId="0" localSheetId="2" customView="1" name="Z_BD55AB36_084D_4C26_BAB2_482C24A270C8_.wvu.PrintTitles" hidden="1" oldHidden="1">
    <formula>'по отчету отправка'!$3:$3</formula>
    <oldFormula>'по отчету отправка'!$3:$3</oldFormula>
  </rdn>
  <rdn rId="0" localSheetId="2" customView="1" name="Z_BD55AB36_084D_4C26_BAB2_482C24A270C8_.wvu.Rows" hidden="1" oldHidden="1">
    <formula>'по отчету отправка'!$41:$42</formula>
    <oldFormula>'по отчету отправка'!$41:$42</oldFormula>
  </rdn>
  <rdn rId="0" localSheetId="3" customView="1" name="Z_BD55AB36_084D_4C26_BAB2_482C24A270C8_.wvu.PrintArea" hidden="1" oldHidden="1">
    <formula>'по отчету руб'!$A$1:$C$74</formula>
    <oldFormula>'по отчету руб'!$A$1:$C$74</oldFormula>
  </rdn>
  <rdn rId="0" localSheetId="3" customView="1" name="Z_BD55AB36_084D_4C26_BAB2_482C24A270C8_.wvu.PrintTitles" hidden="1" oldHidden="1">
    <formula>'по отчету руб'!$3:$3</formula>
    <oldFormula>'по отчету руб'!$3:$3</oldFormula>
  </rdn>
  <rdn rId="0" localSheetId="3" customView="1" name="Z_BD55AB36_084D_4C26_BAB2_482C24A270C8_.wvu.Rows" hidden="1" oldHidden="1">
    <formula>'по отчету руб'!$13:$13,'по отчету руб'!$16:$16,'по отчету руб'!$40:$41,'по отчету руб'!$44:$44,'по отчету руб'!$71:$71</formula>
    <oldFormula>'по отчету руб'!$13:$13,'по отчету руб'!$16:$16,'по отчету руб'!$40:$41,'по отчету руб'!$44:$44,'по отчету руб'!$71:$71</oldFormula>
  </rdn>
  <rdn rId="0" localSheetId="4" customView="1" name="Z_BD55AB36_084D_4C26_BAB2_482C24A270C8_.wvu.PrintArea" hidden="1" oldHidden="1">
    <formula>'по отчету (3)'!$A$1:$C$74</formula>
    <oldFormula>'по отчету (3)'!$A$1:$C$74</oldFormula>
  </rdn>
  <rdn rId="0" localSheetId="4" customView="1" name="Z_BD55AB36_084D_4C26_BAB2_482C24A270C8_.wvu.PrintTitles" hidden="1" oldHidden="1">
    <formula>'по отчету (3)'!$3:$3</formula>
    <oldFormula>'по отчету (3)'!$3:$3</oldFormula>
  </rdn>
  <rdn rId="0" localSheetId="4" customView="1" name="Z_BD55AB36_084D_4C26_BAB2_482C24A270C8_.wvu.Rows" hidden="1" oldHidden="1">
    <formula>'по отчету (3)'!$13:$13,'по отчету (3)'!$16:$16,'по отчету (3)'!$40:$41,'по отчету (3)'!$44:$44,'по отчету (3)'!$71:$71</formula>
    <oldFormula>'по отчету (3)'!$13:$13,'по отчету (3)'!$16:$16,'по отчету (3)'!$40:$41,'по отчету (3)'!$44:$44,'по отчету (3)'!$71:$71</oldFormula>
  </rdn>
  <rdn rId="0" localSheetId="5" customView="1" name="Z_BD55AB36_084D_4C26_BAB2_482C24A270C8_.wvu.PrintArea" hidden="1" oldHidden="1">
    <formula>'план по отчету'!$A$1:$D$78</formula>
    <oldFormula>'план по отчету'!$A$1:$D$78</oldFormula>
  </rdn>
  <rdn rId="0" localSheetId="5" customView="1" name="Z_BD55AB36_084D_4C26_BAB2_482C24A270C8_.wvu.PrintTitles" hidden="1" oldHidden="1">
    <formula>'план по отчету'!$3:$3</formula>
    <oldFormula>'план по отчету'!$3:$3</oldFormula>
  </rdn>
  <rdn rId="0" localSheetId="5" customView="1" name="Z_BD55AB36_084D_4C26_BAB2_482C24A270C8_.wvu.Rows" hidden="1" oldHidden="1">
    <formula>'план по отчету'!$13:$13,'план по отчету'!$16:$16,'план по отчету'!$44:$45,'план по отчету'!$48:$48,'план по отчету'!$75:$75</formula>
    <oldFormula>'план по отчету'!$13:$13,'план по отчету'!$16:$16,'план по отчету'!$44:$45,'план по отчету'!$48:$48,'план по отчету'!$75:$75</oldFormula>
  </rdn>
  <rdn rId="0" localSheetId="6" customView="1" name="Z_BD55AB36_084D_4C26_BAB2_482C24A270C8_.wvu.PrintArea" hidden="1" oldHidden="1">
    <formula>'на отправку'!$A$1:$C$78</formula>
    <oldFormula>'на отправку'!$A$1:$C$78</oldFormula>
  </rdn>
  <rdn rId="0" localSheetId="6" customView="1" name="Z_BD55AB36_084D_4C26_BAB2_482C24A270C8_.wvu.PrintTitles" hidden="1" oldHidden="1">
    <formula>'на отправку'!$3:$3</formula>
    <oldFormula>'на отправку'!$3:$3</oldFormula>
  </rdn>
  <rdn rId="0" localSheetId="6" customView="1" name="Z_BD55AB36_084D_4C26_BAB2_482C24A270C8_.wvu.Rows" hidden="1" oldHidden="1">
    <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formula>
    <old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oldFormula>
  </rdn>
  <rdn rId="0" localSheetId="7" customView="1" name="Z_BD55AB36_084D_4C26_BAB2_482C24A270C8_.wvu.PrintArea" hidden="1" oldHidden="1">
    <formula>'по отчету'!$A$1:$C$78</formula>
    <oldFormula>'по отчету'!$A$1:$C$78</oldFormula>
  </rdn>
  <rdn rId="0" localSheetId="7" customView="1" name="Z_BD55AB36_084D_4C26_BAB2_482C24A270C8_.wvu.PrintTitles" hidden="1" oldHidden="1">
    <formula>'по отчету'!$3:$3</formula>
    <oldFormula>'по отчету'!$3:$3</oldFormula>
  </rdn>
  <rdn rId="0" localSheetId="7" customView="1" name="Z_BD55AB36_084D_4C26_BAB2_482C24A270C8_.wvu.Rows" hidden="1" oldHidden="1">
    <formula>'по отчету'!$13:$13,'по отчету'!$16:$16,'по отчету'!$44:$45,'по отчету'!$48:$48,'по отчету'!$75:$75</formula>
    <oldFormula>'по отчету'!$13:$13,'по отчету'!$16:$16,'по отчету'!$44:$45,'по отчету'!$48:$48,'по отчету'!$75:$75</oldFormula>
  </rdn>
  <rcv guid="{BD55AB36-084D-4C26-BAB2-482C24A270C8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55AB36-084D-4C26-BAB2-482C24A270C8}" action="delete"/>
  <rdn rId="0" localSheetId="1" customView="1" name="Z_BD55AB36_084D_4C26_BAB2_482C24A270C8_.wvu.PrintArea" hidden="1" oldHidden="1">
    <formula>'ожид.оценка 2024'!$A$1:$G$74</formula>
    <oldFormula>'ожид.оценка 2024'!$A$1:$G$74</oldFormula>
  </rdn>
  <rdn rId="0" localSheetId="1" customView="1" name="Z_BD55AB36_084D_4C26_BAB2_482C24A270C8_.wvu.PrintTitles" hidden="1" oldHidden="1">
    <formula>'ожид.оценка 2024'!$3:$3</formula>
    <oldFormula>'ожид.оценка 2024'!$3:$3</oldFormula>
  </rdn>
  <rdn rId="0" localSheetId="1" customView="1" name="Z_BD55AB36_084D_4C26_BAB2_482C24A270C8_.wvu.Cols" hidden="1" oldHidden="1">
    <formula>'ожид.оценка 2024'!$E:$E</formula>
  </rdn>
  <rdn rId="0" localSheetId="2" customView="1" name="Z_BD55AB36_084D_4C26_BAB2_482C24A270C8_.wvu.PrintArea" hidden="1" oldHidden="1">
    <formula>'по отчету отправка'!$A$1:$C$75</formula>
    <oldFormula>'по отчету отправка'!$A$1:$C$75</oldFormula>
  </rdn>
  <rdn rId="0" localSheetId="2" customView="1" name="Z_BD55AB36_084D_4C26_BAB2_482C24A270C8_.wvu.PrintTitles" hidden="1" oldHidden="1">
    <formula>'по отчету отправка'!$3:$3</formula>
    <oldFormula>'по отчету отправка'!$3:$3</oldFormula>
  </rdn>
  <rdn rId="0" localSheetId="2" customView="1" name="Z_BD55AB36_084D_4C26_BAB2_482C24A270C8_.wvu.Rows" hidden="1" oldHidden="1">
    <formula>'по отчету отправка'!$41:$42</formula>
    <oldFormula>'по отчету отправка'!$41:$42</oldFormula>
  </rdn>
  <rdn rId="0" localSheetId="3" customView="1" name="Z_BD55AB36_084D_4C26_BAB2_482C24A270C8_.wvu.PrintArea" hidden="1" oldHidden="1">
    <formula>'по отчету руб'!$A$1:$C$74</formula>
    <oldFormula>'по отчету руб'!$A$1:$C$74</oldFormula>
  </rdn>
  <rdn rId="0" localSheetId="3" customView="1" name="Z_BD55AB36_084D_4C26_BAB2_482C24A270C8_.wvu.PrintTitles" hidden="1" oldHidden="1">
    <formula>'по отчету руб'!$3:$3</formula>
    <oldFormula>'по отчету руб'!$3:$3</oldFormula>
  </rdn>
  <rdn rId="0" localSheetId="3" customView="1" name="Z_BD55AB36_084D_4C26_BAB2_482C24A270C8_.wvu.Rows" hidden="1" oldHidden="1">
    <formula>'по отчету руб'!$13:$13,'по отчету руб'!$16:$16,'по отчету руб'!$40:$41,'по отчету руб'!$44:$44,'по отчету руб'!$71:$71</formula>
    <oldFormula>'по отчету руб'!$13:$13,'по отчету руб'!$16:$16,'по отчету руб'!$40:$41,'по отчету руб'!$44:$44,'по отчету руб'!$71:$71</oldFormula>
  </rdn>
  <rdn rId="0" localSheetId="4" customView="1" name="Z_BD55AB36_084D_4C26_BAB2_482C24A270C8_.wvu.PrintArea" hidden="1" oldHidden="1">
    <formula>'по отчету (3)'!$A$1:$C$74</formula>
    <oldFormula>'по отчету (3)'!$A$1:$C$74</oldFormula>
  </rdn>
  <rdn rId="0" localSheetId="4" customView="1" name="Z_BD55AB36_084D_4C26_BAB2_482C24A270C8_.wvu.PrintTitles" hidden="1" oldHidden="1">
    <formula>'по отчету (3)'!$3:$3</formula>
    <oldFormula>'по отчету (3)'!$3:$3</oldFormula>
  </rdn>
  <rdn rId="0" localSheetId="4" customView="1" name="Z_BD55AB36_084D_4C26_BAB2_482C24A270C8_.wvu.Rows" hidden="1" oldHidden="1">
    <formula>'по отчету (3)'!$13:$13,'по отчету (3)'!$16:$16,'по отчету (3)'!$40:$41,'по отчету (3)'!$44:$44,'по отчету (3)'!$71:$71</formula>
    <oldFormula>'по отчету (3)'!$13:$13,'по отчету (3)'!$16:$16,'по отчету (3)'!$40:$41,'по отчету (3)'!$44:$44,'по отчету (3)'!$71:$71</oldFormula>
  </rdn>
  <rdn rId="0" localSheetId="5" customView="1" name="Z_BD55AB36_084D_4C26_BAB2_482C24A270C8_.wvu.PrintArea" hidden="1" oldHidden="1">
    <formula>'план по отчету'!$A$1:$D$78</formula>
    <oldFormula>'план по отчету'!$A$1:$D$78</oldFormula>
  </rdn>
  <rdn rId="0" localSheetId="5" customView="1" name="Z_BD55AB36_084D_4C26_BAB2_482C24A270C8_.wvu.PrintTitles" hidden="1" oldHidden="1">
    <formula>'план по отчету'!$3:$3</formula>
    <oldFormula>'план по отчету'!$3:$3</oldFormula>
  </rdn>
  <rdn rId="0" localSheetId="5" customView="1" name="Z_BD55AB36_084D_4C26_BAB2_482C24A270C8_.wvu.Rows" hidden="1" oldHidden="1">
    <formula>'план по отчету'!$13:$13,'план по отчету'!$16:$16,'план по отчету'!$44:$45,'план по отчету'!$48:$48,'план по отчету'!$75:$75</formula>
    <oldFormula>'план по отчету'!$13:$13,'план по отчету'!$16:$16,'план по отчету'!$44:$45,'план по отчету'!$48:$48,'план по отчету'!$75:$75</oldFormula>
  </rdn>
  <rdn rId="0" localSheetId="6" customView="1" name="Z_BD55AB36_084D_4C26_BAB2_482C24A270C8_.wvu.PrintArea" hidden="1" oldHidden="1">
    <formula>'на отправку'!$A$1:$C$78</formula>
    <oldFormula>'на отправку'!$A$1:$C$78</oldFormula>
  </rdn>
  <rdn rId="0" localSheetId="6" customView="1" name="Z_BD55AB36_084D_4C26_BAB2_482C24A270C8_.wvu.PrintTitles" hidden="1" oldHidden="1">
    <formula>'на отправку'!$3:$3</formula>
    <oldFormula>'на отправку'!$3:$3</oldFormula>
  </rdn>
  <rdn rId="0" localSheetId="6" customView="1" name="Z_BD55AB36_084D_4C26_BAB2_482C24A270C8_.wvu.Rows" hidden="1" oldHidden="1">
    <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formula>
    <old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oldFormula>
  </rdn>
  <rdn rId="0" localSheetId="7" customView="1" name="Z_BD55AB36_084D_4C26_BAB2_482C24A270C8_.wvu.PrintArea" hidden="1" oldHidden="1">
    <formula>'по отчету'!$A$1:$C$78</formula>
    <oldFormula>'по отчету'!$A$1:$C$78</oldFormula>
  </rdn>
  <rdn rId="0" localSheetId="7" customView="1" name="Z_BD55AB36_084D_4C26_BAB2_482C24A270C8_.wvu.PrintTitles" hidden="1" oldHidden="1">
    <formula>'по отчету'!$3:$3</formula>
    <oldFormula>'по отчету'!$3:$3</oldFormula>
  </rdn>
  <rdn rId="0" localSheetId="7" customView="1" name="Z_BD55AB36_084D_4C26_BAB2_482C24A270C8_.wvu.Rows" hidden="1" oldHidden="1">
    <formula>'по отчету'!$13:$13,'по отчету'!$16:$16,'по отчету'!$44:$45,'по отчету'!$48:$48,'по отчету'!$75:$75</formula>
    <oldFormula>'по отчету'!$13:$13,'по отчету'!$16:$16,'по отчету'!$44:$45,'по отчету'!$48:$48,'по отчету'!$75:$75</oldFormula>
  </rdn>
  <rcv guid="{BD55AB36-084D-4C26-BAB2-482C24A270C8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67" start="0" length="2147483647">
    <dxf>
      <font>
        <color rgb="FFFF0000"/>
      </font>
    </dxf>
  </rfmt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9" sId="1" numFmtId="4">
    <oc r="F41">
      <v>5254776.2</v>
    </oc>
    <nc r="F41">
      <v>5256652.4000000004</v>
    </nc>
  </rcc>
  <rcc rId="670" sId="1" numFmtId="4">
    <oc r="F40">
      <v>1216531.8</v>
    </oc>
    <nc r="F40">
      <v>1223864.2</v>
    </nc>
  </rcc>
  <rcc rId="671" sId="1" odxf="1" dxf="1" numFmtId="4">
    <oc r="F33">
      <v>23604141</v>
    </oc>
    <nc r="F33">
      <f>F34+F38+F39+F40</f>
    </nc>
    <odxf/>
    <ndxf/>
  </rcc>
  <rcc rId="672" sId="1" odxf="1" dxf="1" numFmtId="4">
    <oc r="F32">
      <v>29320970</v>
    </oc>
    <nc r="F32">
      <f>F33+F41+F42+F43+F44+F45-0.1</f>
    </nc>
    <odxf/>
    <ndxf/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B3" t="inlineStr">
      <is>
        <t>Отчет 
на 1 октября 
2024 года</t>
      </is>
    </oc>
    <nc r="B3" t="inlineStr">
      <is>
        <t>Отчет 
на 1 октября 
2025 года</t>
      </is>
    </nc>
  </rcc>
  <rcc rId="2" sId="1">
    <oc r="C3" t="inlineStr">
      <is>
        <t xml:space="preserve">Ожидаемое исполнение 
в 2024 году </t>
      </is>
    </oc>
    <nc r="C3" t="inlineStr">
      <is>
        <t xml:space="preserve">Ожидаемое исполнение 
в 2025 году </t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3" sId="1" odxf="1" dxf="1" numFmtId="4">
    <oc r="F63">
      <v>82859122.599999994</v>
    </oc>
    <nc r="F63">
      <f>F48+F49+F50+F51+F53+F54+F55+F56+F57+F58+F59+F60+F61+F62</f>
    </nc>
    <odxf/>
    <ndxf/>
  </rcc>
  <rfmt sheetId="1" sqref="H77" start="0" length="0">
    <dxf>
      <numFmt numFmtId="169" formatCode="#,##0.0_ ;\-#,##0.0\ "/>
    </dxf>
  </rfmt>
  <rcc rId="674" sId="1">
    <oc r="F32">
      <f>F33+F41+F42+F43+F44+F45-0.1</f>
    </oc>
    <nc r="F32">
      <f>F33+F41+F42+F43+F44+F45</f>
    </nc>
  </rcc>
  <rcc rId="675" sId="1">
    <oc r="F5">
      <f>49756720.6+1045894.1-200000</f>
    </oc>
    <nc r="F5">
      <f>49756720.6+1045894.1-200000-9208.7</f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75" start="0" length="0">
    <dxf>
      <font>
        <b/>
        <sz val="12"/>
        <color rgb="FFFF0000"/>
      </font>
      <numFmt numFmtId="170" formatCode="#,##0.000_ ;\-#,##0.000\ "/>
      <alignment horizontal="general" vertical="bottom" wrapText="0" readingOrder="0"/>
    </dxf>
  </rfmt>
  <rcc rId="676" sId="1">
    <nc r="G75">
      <f>(9525015.4+F67+F66)/F5*100</f>
    </nc>
  </rcc>
  <rcv guid="{BD55AB36-084D-4C26-BAB2-482C24A270C8}" action="delete"/>
  <rdn rId="0" localSheetId="1" customView="1" name="Z_BD55AB36_084D_4C26_BAB2_482C24A270C8_.wvu.PrintArea" hidden="1" oldHidden="1">
    <formula>'ожид.оценка 2024'!$A$1:$G$75</formula>
    <oldFormula>'ожид.оценка 2024'!$A$1:$G$74</oldFormula>
  </rdn>
  <rdn rId="0" localSheetId="1" customView="1" name="Z_BD55AB36_084D_4C26_BAB2_482C24A270C8_.wvu.PrintTitles" hidden="1" oldHidden="1">
    <formula>'ожид.оценка 2024'!$3:$3</formula>
    <oldFormula>'ожид.оценка 2024'!$3:$3</oldFormula>
  </rdn>
  <rdn rId="0" localSheetId="1" customView="1" name="Z_BD55AB36_084D_4C26_BAB2_482C24A270C8_.wvu.Rows" hidden="1" oldHidden="1">
    <formula>'ожид.оценка 2024'!$6:$31</formula>
  </rdn>
  <rdn rId="0" localSheetId="1" customView="1" name="Z_BD55AB36_084D_4C26_BAB2_482C24A270C8_.wvu.Cols" hidden="1" oldHidden="1">
    <formula>'ожид.оценка 2024'!$E:$E</formula>
    <oldFormula>'ожид.оценка 2024'!$E:$E</oldFormula>
  </rdn>
  <rdn rId="0" localSheetId="2" customView="1" name="Z_BD55AB36_084D_4C26_BAB2_482C24A270C8_.wvu.PrintArea" hidden="1" oldHidden="1">
    <formula>'по отчету отправка'!$A$1:$C$75</formula>
    <oldFormula>'по отчету отправка'!$A$1:$C$75</oldFormula>
  </rdn>
  <rdn rId="0" localSheetId="2" customView="1" name="Z_BD55AB36_084D_4C26_BAB2_482C24A270C8_.wvu.PrintTitles" hidden="1" oldHidden="1">
    <formula>'по отчету отправка'!$3:$3</formula>
    <oldFormula>'по отчету отправка'!$3:$3</oldFormula>
  </rdn>
  <rdn rId="0" localSheetId="2" customView="1" name="Z_BD55AB36_084D_4C26_BAB2_482C24A270C8_.wvu.Rows" hidden="1" oldHidden="1">
    <formula>'по отчету отправка'!$41:$42</formula>
    <oldFormula>'по отчету отправка'!$41:$42</oldFormula>
  </rdn>
  <rdn rId="0" localSheetId="3" customView="1" name="Z_BD55AB36_084D_4C26_BAB2_482C24A270C8_.wvu.PrintArea" hidden="1" oldHidden="1">
    <formula>'по отчету руб'!$A$1:$C$74</formula>
    <oldFormula>'по отчету руб'!$A$1:$C$74</oldFormula>
  </rdn>
  <rdn rId="0" localSheetId="3" customView="1" name="Z_BD55AB36_084D_4C26_BAB2_482C24A270C8_.wvu.PrintTitles" hidden="1" oldHidden="1">
    <formula>'по отчету руб'!$3:$3</formula>
    <oldFormula>'по отчету руб'!$3:$3</oldFormula>
  </rdn>
  <rdn rId="0" localSheetId="3" customView="1" name="Z_BD55AB36_084D_4C26_BAB2_482C24A270C8_.wvu.Rows" hidden="1" oldHidden="1">
    <formula>'по отчету руб'!$13:$13,'по отчету руб'!$16:$16,'по отчету руб'!$40:$41,'по отчету руб'!$44:$44,'по отчету руб'!$71:$71</formula>
    <oldFormula>'по отчету руб'!$13:$13,'по отчету руб'!$16:$16,'по отчету руб'!$40:$41,'по отчету руб'!$44:$44,'по отчету руб'!$71:$71</oldFormula>
  </rdn>
  <rdn rId="0" localSheetId="4" customView="1" name="Z_BD55AB36_084D_4C26_BAB2_482C24A270C8_.wvu.PrintArea" hidden="1" oldHidden="1">
    <formula>'по отчету (3)'!$A$1:$C$74</formula>
    <oldFormula>'по отчету (3)'!$A$1:$C$74</oldFormula>
  </rdn>
  <rdn rId="0" localSheetId="4" customView="1" name="Z_BD55AB36_084D_4C26_BAB2_482C24A270C8_.wvu.PrintTitles" hidden="1" oldHidden="1">
    <formula>'по отчету (3)'!$3:$3</formula>
    <oldFormula>'по отчету (3)'!$3:$3</oldFormula>
  </rdn>
  <rdn rId="0" localSheetId="4" customView="1" name="Z_BD55AB36_084D_4C26_BAB2_482C24A270C8_.wvu.Rows" hidden="1" oldHidden="1">
    <formula>'по отчету (3)'!$13:$13,'по отчету (3)'!$16:$16,'по отчету (3)'!$40:$41,'по отчету (3)'!$44:$44,'по отчету (3)'!$71:$71</formula>
    <oldFormula>'по отчету (3)'!$13:$13,'по отчету (3)'!$16:$16,'по отчету (3)'!$40:$41,'по отчету (3)'!$44:$44,'по отчету (3)'!$71:$71</oldFormula>
  </rdn>
  <rdn rId="0" localSheetId="5" customView="1" name="Z_BD55AB36_084D_4C26_BAB2_482C24A270C8_.wvu.PrintArea" hidden="1" oldHidden="1">
    <formula>'план по отчету'!$A$1:$D$78</formula>
    <oldFormula>'план по отчету'!$A$1:$D$78</oldFormula>
  </rdn>
  <rdn rId="0" localSheetId="5" customView="1" name="Z_BD55AB36_084D_4C26_BAB2_482C24A270C8_.wvu.PrintTitles" hidden="1" oldHidden="1">
    <formula>'план по отчету'!$3:$3</formula>
    <oldFormula>'план по отчету'!$3:$3</oldFormula>
  </rdn>
  <rdn rId="0" localSheetId="5" customView="1" name="Z_BD55AB36_084D_4C26_BAB2_482C24A270C8_.wvu.Rows" hidden="1" oldHidden="1">
    <formula>'план по отчету'!$13:$13,'план по отчету'!$16:$16,'план по отчету'!$44:$45,'план по отчету'!$48:$48,'план по отчету'!$75:$75</formula>
    <oldFormula>'план по отчету'!$13:$13,'план по отчету'!$16:$16,'план по отчету'!$44:$45,'план по отчету'!$48:$48,'план по отчету'!$75:$75</oldFormula>
  </rdn>
  <rdn rId="0" localSheetId="6" customView="1" name="Z_BD55AB36_084D_4C26_BAB2_482C24A270C8_.wvu.PrintArea" hidden="1" oldHidden="1">
    <formula>'на отправку'!$A$1:$C$78</formula>
    <oldFormula>'на отправку'!$A$1:$C$78</oldFormula>
  </rdn>
  <rdn rId="0" localSheetId="6" customView="1" name="Z_BD55AB36_084D_4C26_BAB2_482C24A270C8_.wvu.PrintTitles" hidden="1" oldHidden="1">
    <formula>'на отправку'!$3:$3</formula>
    <oldFormula>'на отправку'!$3:$3</oldFormula>
  </rdn>
  <rdn rId="0" localSheetId="6" customView="1" name="Z_BD55AB36_084D_4C26_BAB2_482C24A270C8_.wvu.Rows" hidden="1" oldHidden="1">
    <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formula>
    <old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oldFormula>
  </rdn>
  <rdn rId="0" localSheetId="7" customView="1" name="Z_BD55AB36_084D_4C26_BAB2_482C24A270C8_.wvu.PrintArea" hidden="1" oldHidden="1">
    <formula>'по отчету'!$A$1:$C$78</formula>
    <oldFormula>'по отчету'!$A$1:$C$78</oldFormula>
  </rdn>
  <rdn rId="0" localSheetId="7" customView="1" name="Z_BD55AB36_084D_4C26_BAB2_482C24A270C8_.wvu.PrintTitles" hidden="1" oldHidden="1">
    <formula>'по отчету'!$3:$3</formula>
    <oldFormula>'по отчету'!$3:$3</oldFormula>
  </rdn>
  <rdn rId="0" localSheetId="7" customView="1" name="Z_BD55AB36_084D_4C26_BAB2_482C24A270C8_.wvu.Rows" hidden="1" oldHidden="1">
    <formula>'по отчету'!$13:$13,'по отчету'!$16:$16,'по отчету'!$44:$45,'по отчету'!$48:$48,'по отчету'!$75:$75</formula>
    <oldFormula>'по отчету'!$13:$13,'по отчету'!$16:$16,'по отчету'!$44:$45,'по отчету'!$48:$48,'по отчету'!$75:$75</oldFormula>
  </rdn>
  <rcv guid="{BD55AB36-084D-4C26-BAB2-482C24A270C8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9" sId="1">
    <oc r="G61">
      <f>F61-D61</f>
    </oc>
    <nc r="G61">
      <f>F61-D61</f>
    </nc>
  </rcc>
  <rcc rId="700" sId="1" numFmtId="4">
    <oc r="F61">
      <v>900000</v>
    </oc>
    <nc r="F61">
      <v>700000</v>
    </nc>
  </rcc>
  <rcc rId="701" sId="1">
    <oc r="F5">
      <f>49756720.6+1045894.1-200000-9208.7</f>
    </oc>
    <nc r="F5">
      <f>D5-4690526.8</f>
    </nc>
  </rcc>
  <rcc rId="702" sId="1" numFmtId="4">
    <oc r="F48">
      <v>4857330.0999999996</v>
    </oc>
    <nc r="F48">
      <f>4857330.1-1516781.7</f>
    </nc>
  </rcc>
  <rcc rId="703" sId="1">
    <oc r="I74">
      <f>E5*25/100</f>
    </oc>
    <nc r="I74">
      <f>F5*25/100</f>
    </nc>
  </rcc>
  <rcc rId="704" sId="1">
    <nc r="F67">
      <f>3960068.8-1045894.1-100000</f>
    </nc>
  </rcc>
  <rcc rId="705" sId="1">
    <nc r="F67">
      <f>3960068.8-1045894.1-200000</f>
    </nc>
  </rcc>
  <rcc rId="706" sId="1">
    <oc r="F67">
      <f>3960068.8-1045894.1+200000</f>
    </oc>
    <nc r="F67">
      <f>3960068.8-1045894.1-200000+26854</f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7" sId="1">
    <oc r="I75">
      <f>F5*25/100</f>
    </oc>
    <nc r="I75">
      <f>F5*24.99/100</f>
    </nc>
  </rcc>
  <rcc rId="708" sId="1">
    <nc r="I77">
      <f>I75-H75</f>
    </nc>
  </rcc>
  <rcc rId="709" sId="1">
    <oc r="G48">
      <f>F48-D48</f>
    </oc>
    <nc r="G48">
      <f>F48-D48</f>
    </nc>
  </rcc>
  <rcc rId="710" sId="1">
    <oc r="F48">
      <f>4857330.1-1516781.7</f>
    </oc>
    <nc r="F48">
      <f>4857330.1-1516781.7+40000</f>
    </nc>
  </rcc>
  <rcc rId="711" sId="1">
    <oc r="F67">
      <f>3960068.8-1045894.1-200000+26854</f>
    </oc>
    <nc r="F67">
      <f>3960068.8-1045894.1-200000+26854+40000</f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2" sId="1">
    <oc r="F5">
      <f>D5-4690526.8</f>
    </oc>
    <nc r="F5">
      <f>D5-4543222</f>
    </nc>
  </rcc>
  <rcc rId="713" sId="1">
    <oc r="F48">
      <f>4857330.1-1516781.7+40000</f>
    </oc>
    <nc r="F48">
      <f>4857330.1-1516781.7+40000+147304.8+38000</f>
    </nc>
  </rcc>
  <rcc rId="714" sId="1">
    <oc r="F67">
      <f>3960068.8-1045894.1-200000+26854+40000</f>
    </oc>
    <nc r="F67">
      <f>3960068.8-1045894.1-200000+26854+40000+38000</f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="1" sqref="F78" start="0" length="0">
    <dxf>
      <font>
        <b/>
        <sz val="13"/>
        <color auto="1"/>
        <name val="Times New Roman"/>
        <scheme val="none"/>
      </font>
      <numFmt numFmtId="165" formatCode="#,##0.0"/>
      <alignment horizontal="center" vertic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715" sId="1" numFmtId="4">
    <nc r="F78">
      <f>29637015.1+C66+C67+C68</f>
    </nc>
  </rcc>
  <rfmt sheetId="1" s="1" sqref="F79" start="0" length="0">
    <dxf>
      <font>
        <b/>
        <sz val="13"/>
        <color auto="1"/>
        <name val="Times New Roman"/>
        <scheme val="none"/>
      </font>
      <numFmt numFmtId="165" formatCode="#,##0.0"/>
      <alignment horizontal="center" vertic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716" sId="1">
    <nc r="F79">
      <f>29637015.1+F67+F68+F66-1612000-1545000</f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BD55AB36_084D_4C26_BAB2_482C24A270C8_.wvu.Rows" hidden="1" oldHidden="1">
    <oldFormula>'ожид.оценка 2024'!$6:$31</oldFormula>
  </rdn>
  <rcv guid="{BD55AB36-084D-4C26-BAB2-482C24A270C8}" action="delete"/>
  <rdn rId="0" localSheetId="1" customView="1" name="Z_BD55AB36_084D_4C26_BAB2_482C24A270C8_.wvu.PrintArea" hidden="1" oldHidden="1">
    <formula>'ожид.оценка 2024'!$A$1:$G$75</formula>
    <oldFormula>'ожид.оценка 2024'!$A$1:$G$75</oldFormula>
  </rdn>
  <rdn rId="0" localSheetId="1" customView="1" name="Z_BD55AB36_084D_4C26_BAB2_482C24A270C8_.wvu.PrintTitles" hidden="1" oldHidden="1">
    <formula>'ожид.оценка 2024'!$3:$3</formula>
    <oldFormula>'ожид.оценка 2024'!$3:$3</oldFormula>
  </rdn>
  <rdn rId="0" localSheetId="1" customView="1" name="Z_BD55AB36_084D_4C26_BAB2_482C24A270C8_.wvu.Cols" hidden="1" oldHidden="1">
    <formula>'ожид.оценка 2024'!$E:$E</formula>
    <oldFormula>'ожид.оценка 2024'!$E:$E</oldFormula>
  </rdn>
  <rdn rId="0" localSheetId="2" customView="1" name="Z_BD55AB36_084D_4C26_BAB2_482C24A270C8_.wvu.PrintArea" hidden="1" oldHidden="1">
    <formula>'по отчету отправка'!$A$1:$C$75</formula>
    <oldFormula>'по отчету отправка'!$A$1:$C$75</oldFormula>
  </rdn>
  <rdn rId="0" localSheetId="2" customView="1" name="Z_BD55AB36_084D_4C26_BAB2_482C24A270C8_.wvu.PrintTitles" hidden="1" oldHidden="1">
    <formula>'по отчету отправка'!$3:$3</formula>
    <oldFormula>'по отчету отправка'!$3:$3</oldFormula>
  </rdn>
  <rdn rId="0" localSheetId="2" customView="1" name="Z_BD55AB36_084D_4C26_BAB2_482C24A270C8_.wvu.Rows" hidden="1" oldHidden="1">
    <formula>'по отчету отправка'!$41:$42</formula>
    <oldFormula>'по отчету отправка'!$41:$42</oldFormula>
  </rdn>
  <rdn rId="0" localSheetId="3" customView="1" name="Z_BD55AB36_084D_4C26_BAB2_482C24A270C8_.wvu.PrintArea" hidden="1" oldHidden="1">
    <formula>'по отчету руб'!$A$1:$C$74</formula>
    <oldFormula>'по отчету руб'!$A$1:$C$74</oldFormula>
  </rdn>
  <rdn rId="0" localSheetId="3" customView="1" name="Z_BD55AB36_084D_4C26_BAB2_482C24A270C8_.wvu.PrintTitles" hidden="1" oldHidden="1">
    <formula>'по отчету руб'!$3:$3</formula>
    <oldFormula>'по отчету руб'!$3:$3</oldFormula>
  </rdn>
  <rdn rId="0" localSheetId="3" customView="1" name="Z_BD55AB36_084D_4C26_BAB2_482C24A270C8_.wvu.Rows" hidden="1" oldHidden="1">
    <formula>'по отчету руб'!$13:$13,'по отчету руб'!$16:$16,'по отчету руб'!$40:$41,'по отчету руб'!$44:$44,'по отчету руб'!$71:$71</formula>
    <oldFormula>'по отчету руб'!$13:$13,'по отчету руб'!$16:$16,'по отчету руб'!$40:$41,'по отчету руб'!$44:$44,'по отчету руб'!$71:$71</oldFormula>
  </rdn>
  <rdn rId="0" localSheetId="4" customView="1" name="Z_BD55AB36_084D_4C26_BAB2_482C24A270C8_.wvu.PrintArea" hidden="1" oldHidden="1">
    <formula>'по отчету (3)'!$A$1:$C$74</formula>
    <oldFormula>'по отчету (3)'!$A$1:$C$74</oldFormula>
  </rdn>
  <rdn rId="0" localSheetId="4" customView="1" name="Z_BD55AB36_084D_4C26_BAB2_482C24A270C8_.wvu.PrintTitles" hidden="1" oldHidden="1">
    <formula>'по отчету (3)'!$3:$3</formula>
    <oldFormula>'по отчету (3)'!$3:$3</oldFormula>
  </rdn>
  <rdn rId="0" localSheetId="4" customView="1" name="Z_BD55AB36_084D_4C26_BAB2_482C24A270C8_.wvu.Rows" hidden="1" oldHidden="1">
    <formula>'по отчету (3)'!$13:$13,'по отчету (3)'!$16:$16,'по отчету (3)'!$40:$41,'по отчету (3)'!$44:$44,'по отчету (3)'!$71:$71</formula>
    <oldFormula>'по отчету (3)'!$13:$13,'по отчету (3)'!$16:$16,'по отчету (3)'!$40:$41,'по отчету (3)'!$44:$44,'по отчету (3)'!$71:$71</oldFormula>
  </rdn>
  <rdn rId="0" localSheetId="5" customView="1" name="Z_BD55AB36_084D_4C26_BAB2_482C24A270C8_.wvu.PrintArea" hidden="1" oldHidden="1">
    <formula>'план по отчету'!$A$1:$D$78</formula>
    <oldFormula>'план по отчету'!$A$1:$D$78</oldFormula>
  </rdn>
  <rdn rId="0" localSheetId="5" customView="1" name="Z_BD55AB36_084D_4C26_BAB2_482C24A270C8_.wvu.PrintTitles" hidden="1" oldHidden="1">
    <formula>'план по отчету'!$3:$3</formula>
    <oldFormula>'план по отчету'!$3:$3</oldFormula>
  </rdn>
  <rdn rId="0" localSheetId="5" customView="1" name="Z_BD55AB36_084D_4C26_BAB2_482C24A270C8_.wvu.Rows" hidden="1" oldHidden="1">
    <formula>'план по отчету'!$13:$13,'план по отчету'!$16:$16,'план по отчету'!$44:$45,'план по отчету'!$48:$48,'план по отчету'!$75:$75</formula>
    <oldFormula>'план по отчету'!$13:$13,'план по отчету'!$16:$16,'план по отчету'!$44:$45,'план по отчету'!$48:$48,'план по отчету'!$75:$75</oldFormula>
  </rdn>
  <rdn rId="0" localSheetId="6" customView="1" name="Z_BD55AB36_084D_4C26_BAB2_482C24A270C8_.wvu.PrintArea" hidden="1" oldHidden="1">
    <formula>'на отправку'!$A$1:$C$78</formula>
    <oldFormula>'на отправку'!$A$1:$C$78</oldFormula>
  </rdn>
  <rdn rId="0" localSheetId="6" customView="1" name="Z_BD55AB36_084D_4C26_BAB2_482C24A270C8_.wvu.PrintTitles" hidden="1" oldHidden="1">
    <formula>'на отправку'!$3:$3</formula>
    <oldFormula>'на отправку'!$3:$3</oldFormula>
  </rdn>
  <rdn rId="0" localSheetId="6" customView="1" name="Z_BD55AB36_084D_4C26_BAB2_482C24A270C8_.wvu.Rows" hidden="1" oldHidden="1">
    <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formula>
    <old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oldFormula>
  </rdn>
  <rdn rId="0" localSheetId="7" customView="1" name="Z_BD55AB36_084D_4C26_BAB2_482C24A270C8_.wvu.PrintArea" hidden="1" oldHidden="1">
    <formula>'по отчету'!$A$1:$C$78</formula>
    <oldFormula>'по отчету'!$A$1:$C$78</oldFormula>
  </rdn>
  <rdn rId="0" localSheetId="7" customView="1" name="Z_BD55AB36_084D_4C26_BAB2_482C24A270C8_.wvu.PrintTitles" hidden="1" oldHidden="1">
    <formula>'по отчету'!$3:$3</formula>
    <oldFormula>'по отчету'!$3:$3</oldFormula>
  </rdn>
  <rdn rId="0" localSheetId="7" customView="1" name="Z_BD55AB36_084D_4C26_BAB2_482C24A270C8_.wvu.Rows" hidden="1" oldHidden="1">
    <formula>'по отчету'!$13:$13,'по отчету'!$16:$16,'по отчету'!$44:$45,'по отчету'!$48:$48,'по отчету'!$75:$75</formula>
    <oldFormula>'по отчету'!$13:$13,'по отчету'!$16:$16,'по отчету'!$44:$45,'по отчету'!$48:$48,'по отчету'!$75:$75</oldFormula>
  </rdn>
  <rcv guid="{BD55AB36-084D-4C26-BAB2-482C24A270C8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9" sId="1">
    <nc r="F2" t="inlineStr">
      <is>
        <t>(тыс.рублей)</t>
      </is>
    </nc>
  </rcc>
  <rcc rId="740" sId="1">
    <oc r="F3" t="inlineStr">
      <is>
        <t>Ожидаемое исполнение 
в 2025 году  под 25%</t>
      </is>
    </oc>
    <nc r="F3" t="inlineStr">
      <is>
        <t xml:space="preserve">Ожидаемое исполнение 
в 2025 году  </t>
      </is>
    </nc>
  </rcc>
  <rcv guid="{BD55AB36-084D-4C26-BAB2-482C24A270C8}" action="delete"/>
  <rdn rId="0" localSheetId="1" customView="1" name="Z_BD55AB36_084D_4C26_BAB2_482C24A270C8_.wvu.PrintArea" hidden="1" oldHidden="1">
    <formula>'ожид.оценка 2024'!$A$1:$G$75</formula>
    <oldFormula>'ожид.оценка 2024'!$A$1:$G$75</oldFormula>
  </rdn>
  <rdn rId="0" localSheetId="1" customView="1" name="Z_BD55AB36_084D_4C26_BAB2_482C24A270C8_.wvu.PrintTitles" hidden="1" oldHidden="1">
    <formula>'ожид.оценка 2024'!$3:$3</formula>
    <oldFormula>'ожид.оценка 2024'!$3:$3</oldFormula>
  </rdn>
  <rdn rId="0" localSheetId="1" customView="1" name="Z_BD55AB36_084D_4C26_BAB2_482C24A270C8_.wvu.Cols" hidden="1" oldHidden="1">
    <formula>'ожид.оценка 2024'!$C:$E,'ожид.оценка 2024'!$G:$G</formula>
    <oldFormula>'ожид.оценка 2024'!$E:$E</oldFormula>
  </rdn>
  <rdn rId="0" localSheetId="2" customView="1" name="Z_BD55AB36_084D_4C26_BAB2_482C24A270C8_.wvu.PrintArea" hidden="1" oldHidden="1">
    <formula>'по отчету отправка'!$A$1:$C$75</formula>
    <oldFormula>'по отчету отправка'!$A$1:$C$75</oldFormula>
  </rdn>
  <rdn rId="0" localSheetId="2" customView="1" name="Z_BD55AB36_084D_4C26_BAB2_482C24A270C8_.wvu.PrintTitles" hidden="1" oldHidden="1">
    <formula>'по отчету отправка'!$3:$3</formula>
    <oldFormula>'по отчету отправка'!$3:$3</oldFormula>
  </rdn>
  <rdn rId="0" localSheetId="2" customView="1" name="Z_BD55AB36_084D_4C26_BAB2_482C24A270C8_.wvu.Rows" hidden="1" oldHidden="1">
    <formula>'по отчету отправка'!$41:$42</formula>
    <oldFormula>'по отчету отправка'!$41:$42</oldFormula>
  </rdn>
  <rdn rId="0" localSheetId="3" customView="1" name="Z_BD55AB36_084D_4C26_BAB2_482C24A270C8_.wvu.PrintArea" hidden="1" oldHidden="1">
    <formula>'по отчету руб'!$A$1:$C$74</formula>
    <oldFormula>'по отчету руб'!$A$1:$C$74</oldFormula>
  </rdn>
  <rdn rId="0" localSheetId="3" customView="1" name="Z_BD55AB36_084D_4C26_BAB2_482C24A270C8_.wvu.PrintTitles" hidden="1" oldHidden="1">
    <formula>'по отчету руб'!$3:$3</formula>
    <oldFormula>'по отчету руб'!$3:$3</oldFormula>
  </rdn>
  <rdn rId="0" localSheetId="3" customView="1" name="Z_BD55AB36_084D_4C26_BAB2_482C24A270C8_.wvu.Rows" hidden="1" oldHidden="1">
    <formula>'по отчету руб'!$13:$13,'по отчету руб'!$16:$16,'по отчету руб'!$40:$41,'по отчету руб'!$44:$44,'по отчету руб'!$71:$71</formula>
    <oldFormula>'по отчету руб'!$13:$13,'по отчету руб'!$16:$16,'по отчету руб'!$40:$41,'по отчету руб'!$44:$44,'по отчету руб'!$71:$71</oldFormula>
  </rdn>
  <rdn rId="0" localSheetId="4" customView="1" name="Z_BD55AB36_084D_4C26_BAB2_482C24A270C8_.wvu.PrintArea" hidden="1" oldHidden="1">
    <formula>'по отчету (3)'!$A$1:$C$74</formula>
    <oldFormula>'по отчету (3)'!$A$1:$C$74</oldFormula>
  </rdn>
  <rdn rId="0" localSheetId="4" customView="1" name="Z_BD55AB36_084D_4C26_BAB2_482C24A270C8_.wvu.PrintTitles" hidden="1" oldHidden="1">
    <formula>'по отчету (3)'!$3:$3</formula>
    <oldFormula>'по отчету (3)'!$3:$3</oldFormula>
  </rdn>
  <rdn rId="0" localSheetId="4" customView="1" name="Z_BD55AB36_084D_4C26_BAB2_482C24A270C8_.wvu.Rows" hidden="1" oldHidden="1">
    <formula>'по отчету (3)'!$13:$13,'по отчету (3)'!$16:$16,'по отчету (3)'!$40:$41,'по отчету (3)'!$44:$44,'по отчету (3)'!$71:$71</formula>
    <oldFormula>'по отчету (3)'!$13:$13,'по отчету (3)'!$16:$16,'по отчету (3)'!$40:$41,'по отчету (3)'!$44:$44,'по отчету (3)'!$71:$71</oldFormula>
  </rdn>
  <rdn rId="0" localSheetId="5" customView="1" name="Z_BD55AB36_084D_4C26_BAB2_482C24A270C8_.wvu.PrintArea" hidden="1" oldHidden="1">
    <formula>'план по отчету'!$A$1:$D$78</formula>
    <oldFormula>'план по отчету'!$A$1:$D$78</oldFormula>
  </rdn>
  <rdn rId="0" localSheetId="5" customView="1" name="Z_BD55AB36_084D_4C26_BAB2_482C24A270C8_.wvu.PrintTitles" hidden="1" oldHidden="1">
    <formula>'план по отчету'!$3:$3</formula>
    <oldFormula>'план по отчету'!$3:$3</oldFormula>
  </rdn>
  <rdn rId="0" localSheetId="5" customView="1" name="Z_BD55AB36_084D_4C26_BAB2_482C24A270C8_.wvu.Rows" hidden="1" oldHidden="1">
    <formula>'план по отчету'!$13:$13,'план по отчету'!$16:$16,'план по отчету'!$44:$45,'план по отчету'!$48:$48,'план по отчету'!$75:$75</formula>
    <oldFormula>'план по отчету'!$13:$13,'план по отчету'!$16:$16,'план по отчету'!$44:$45,'план по отчету'!$48:$48,'план по отчету'!$75:$75</oldFormula>
  </rdn>
  <rdn rId="0" localSheetId="6" customView="1" name="Z_BD55AB36_084D_4C26_BAB2_482C24A270C8_.wvu.PrintArea" hidden="1" oldHidden="1">
    <formula>'на отправку'!$A$1:$C$78</formula>
    <oldFormula>'на отправку'!$A$1:$C$78</oldFormula>
  </rdn>
  <rdn rId="0" localSheetId="6" customView="1" name="Z_BD55AB36_084D_4C26_BAB2_482C24A270C8_.wvu.PrintTitles" hidden="1" oldHidden="1">
    <formula>'на отправку'!$3:$3</formula>
    <oldFormula>'на отправку'!$3:$3</oldFormula>
  </rdn>
  <rdn rId="0" localSheetId="6" customView="1" name="Z_BD55AB36_084D_4C26_BAB2_482C24A270C8_.wvu.Rows" hidden="1" oldHidden="1">
    <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formula>
    <old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oldFormula>
  </rdn>
  <rdn rId="0" localSheetId="7" customView="1" name="Z_BD55AB36_084D_4C26_BAB2_482C24A270C8_.wvu.PrintArea" hidden="1" oldHidden="1">
    <formula>'по отчету'!$A$1:$C$78</formula>
    <oldFormula>'по отчету'!$A$1:$C$78</oldFormula>
  </rdn>
  <rdn rId="0" localSheetId="7" customView="1" name="Z_BD55AB36_084D_4C26_BAB2_482C24A270C8_.wvu.PrintTitles" hidden="1" oldHidden="1">
    <formula>'по отчету'!$3:$3</formula>
    <oldFormula>'по отчету'!$3:$3</oldFormula>
  </rdn>
  <rdn rId="0" localSheetId="7" customView="1" name="Z_BD55AB36_084D_4C26_BAB2_482C24A270C8_.wvu.Rows" hidden="1" oldHidden="1">
    <formula>'по отчету'!$13:$13,'по отчету'!$16:$16,'по отчету'!$44:$45,'по отчету'!$48:$48,'по отчету'!$75:$75</formula>
    <oldFormula>'по отчету'!$13:$13,'по отчету'!$16:$16,'по отчету'!$44:$45,'по отчету'!$48:$48,'по отчету'!$75:$75</oldFormula>
  </rdn>
  <rcv guid="{BD55AB36-084D-4C26-BAB2-482C24A270C8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2" sId="1" numFmtId="4">
    <oc r="F7">
      <v>11583169.300000001</v>
    </oc>
    <nc r="F7"/>
  </rcc>
  <rcc rId="763" sId="1" numFmtId="4">
    <oc r="F8">
      <v>20104272.699999999</v>
    </oc>
    <nc r="F8"/>
  </rcc>
  <rcc rId="764" sId="1" numFmtId="4">
    <oc r="F10">
      <v>7018309.9000000004</v>
    </oc>
    <nc r="F10"/>
  </rcc>
  <rcc rId="765" sId="1" numFmtId="4">
    <oc r="F11">
      <v>1611282.6</v>
    </oc>
    <nc r="F11"/>
  </rcc>
  <rcc rId="766" sId="1" numFmtId="4">
    <oc r="F12">
      <v>5407027.2999999998</v>
    </oc>
    <nc r="F12"/>
  </rcc>
  <rcc rId="767" sId="1" numFmtId="4">
    <oc r="F14">
      <v>4281193.2</v>
    </oc>
    <nc r="F14"/>
  </rcc>
  <rcc rId="768" sId="1" numFmtId="4">
    <oc r="F15">
      <v>267433.09999999998</v>
    </oc>
    <nc r="F15"/>
  </rcc>
  <rcc rId="769" sId="1" numFmtId="4">
    <oc r="F17">
      <v>3528564</v>
    </oc>
    <nc r="F17"/>
  </rcc>
  <rcc rId="770" sId="1" numFmtId="4">
    <oc r="F18">
      <v>1164778.3</v>
    </oc>
    <nc r="F18"/>
  </rcc>
  <rcc rId="771" sId="1" numFmtId="4">
    <oc r="F19">
      <v>672</v>
    </oc>
    <nc r="F19"/>
  </rcc>
  <rcc rId="772" sId="1" numFmtId="4">
    <oc r="F21">
      <v>2737074.3</v>
    </oc>
    <nc r="F21"/>
  </rcc>
  <rcc rId="773" sId="1" numFmtId="4">
    <oc r="F22">
      <v>84808</v>
    </oc>
    <nc r="F22"/>
  </rcc>
  <rcc rId="774" sId="1" numFmtId="4">
    <oc r="F23">
      <v>102274.9</v>
    </oc>
    <nc r="F23"/>
  </rcc>
  <rcc rId="775" sId="1" numFmtId="4">
    <oc r="F25">
      <v>467163</v>
    </oc>
    <nc r="F25"/>
  </rcc>
  <rcc rId="776" sId="1" numFmtId="4">
    <oc r="F26">
      <v>1353185.1</v>
    </oc>
    <nc r="F26"/>
  </rcc>
  <rcc rId="777" sId="1" numFmtId="4">
    <oc r="F27">
      <v>203813</v>
    </oc>
    <nc r="F27"/>
  </rcc>
  <rcc rId="778" sId="1" numFmtId="4">
    <oc r="F28">
      <v>168050.2</v>
    </oc>
    <nc r="F28"/>
  </rcc>
  <rcc rId="779" sId="1" numFmtId="4">
    <oc r="F29">
      <v>7</v>
    </oc>
    <nc r="F29"/>
  </rcc>
  <rcc rId="780" sId="1" numFmtId="4">
    <oc r="F30">
      <v>865528.8</v>
    </oc>
    <nc r="F30"/>
  </rcc>
  <rcc rId="781" sId="1" numFmtId="4">
    <oc r="F31">
      <v>10000.299999999999</v>
    </oc>
    <nc r="F31"/>
  </rcc>
  <rcc rId="782" sId="1">
    <oc r="C6">
      <f>+C7+C8</f>
    </oc>
    <nc r="C6">
      <f>+C7+C8</f>
    </nc>
  </rcc>
  <rcc rId="783" sId="1">
    <oc r="D6">
      <f>+D7+D8</f>
    </oc>
    <nc r="D6">
      <f>+D7+D8</f>
    </nc>
  </rcc>
  <rcc rId="784" sId="1">
    <oc r="E6">
      <f>+E7+E8</f>
    </oc>
    <nc r="E6">
      <f>+E7+E8</f>
    </nc>
  </rcc>
  <rcc rId="785" sId="1" odxf="1" dxf="1">
    <oc r="F6">
      <v>31687442</v>
    </oc>
    <nc r="F6">
      <f>+F7+F8</f>
    </nc>
    <ndxf/>
  </rcc>
  <rcc rId="786" sId="1">
    <oc r="C9">
      <f>+C10</f>
    </oc>
    <nc r="C9">
      <f>+C10</f>
    </nc>
  </rcc>
  <rcc rId="787" sId="1">
    <oc r="D9">
      <f>+D10</f>
    </oc>
    <nc r="D9">
      <f>+D10</f>
    </nc>
  </rcc>
  <rcc rId="788" sId="1" odxf="1" s="1" dxf="1">
    <oc r="E9">
      <f>+E10</f>
    </oc>
    <nc r="E9">
      <f>+E10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7" formatCode="[&gt;=0.005]#,##0.0;[&lt;=-0.005]\-#,##0.0;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vertical="top" wrapText="0" readingOrder="0"/>
    </ndxf>
  </rcc>
  <rcc rId="789" sId="1" odxf="1" s="1" dxf="1">
    <oc r="F9">
      <v>7018309.9000000004</v>
    </oc>
    <nc r="F9">
      <f>+F10</f>
    </nc>
    <ndxf>
      <alignment vertical="top" wrapText="0" readingOrder="0"/>
    </ndxf>
  </rcc>
  <rcc rId="790" sId="1">
    <oc r="C13">
      <f>+C14+C15</f>
    </oc>
    <nc r="C13">
      <f>+C14+C15</f>
    </nc>
  </rcc>
  <rcc rId="791" sId="1">
    <oc r="D13">
      <f>+D14+D15</f>
    </oc>
    <nc r="D13">
      <f>+D14+D15</f>
    </nc>
  </rcc>
  <rcc rId="792" sId="1" odxf="1" s="1" dxf="1">
    <oc r="E13">
      <f>+E14+E15</f>
    </oc>
    <nc r="E13">
      <f>+E14+E15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7" formatCode="[&gt;=0.005]#,##0.0;[&lt;=-0.005]\-#,##0.0;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vertical="top" wrapText="0" readingOrder="0"/>
    </ndxf>
  </rcc>
  <rcc rId="793" sId="1" odxf="1" s="1" dxf="1">
    <oc r="F13">
      <v>4548626.3</v>
    </oc>
    <nc r="F13">
      <f>+F14+F15</f>
    </nc>
    <ndxf>
      <alignment vertical="top" wrapText="0" readingOrder="0"/>
    </ndxf>
  </rcc>
  <rcc rId="794" sId="1">
    <oc r="C16">
      <f>+C17+C18+C19</f>
    </oc>
    <nc r="C16">
      <f>+C17+C18+C19</f>
    </nc>
  </rcc>
  <rcc rId="795" sId="1">
    <oc r="D16">
      <f>+D17+D18+D19</f>
    </oc>
    <nc r="D16">
      <f>+D17+D18+D19</f>
    </nc>
  </rcc>
  <rcc rId="796" sId="1" odxf="1" s="1" dxf="1">
    <oc r="E16">
      <f>+E17+E18+E19</f>
    </oc>
    <nc r="E16">
      <f>+E17+E18+E19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7" formatCode="[&gt;=0.005]#,##0.0;[&lt;=-0.005]\-#,##0.0;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vertical="top" wrapText="0" readingOrder="0"/>
    </ndxf>
  </rcc>
  <rcc rId="797" sId="1" odxf="1" s="1" dxf="1">
    <oc r="F16">
      <v>4694014.3</v>
    </oc>
    <nc r="F16">
      <f>+F17+F18+F19</f>
    </nc>
    <ndxf>
      <alignment vertical="top" wrapText="0" readingOrder="0"/>
    </ndxf>
  </rcc>
  <rcc rId="798" sId="1">
    <oc r="C20">
      <f>C21+C22</f>
    </oc>
    <nc r="C20">
      <f>C21+C22</f>
    </nc>
  </rcc>
  <rcc rId="799" sId="1">
    <oc r="D20">
      <f>D21+D22</f>
    </oc>
    <nc r="D20">
      <f>D21+D22</f>
    </nc>
  </rcc>
  <rcc rId="800" sId="1" odxf="1" s="1" dxf="1">
    <oc r="E20">
      <f>E21+E22</f>
    </oc>
    <nc r="E20">
      <f>E21+E22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7" formatCode="[&gt;=0.005]#,##0.0;[&lt;=-0.005]\-#,##0.0;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vertical="top" wrapText="0" readingOrder="0"/>
    </ndxf>
  </rcc>
  <rcc rId="801" sId="1" odxf="1" s="1" dxf="1">
    <oc r="F20">
      <v>2821882.3</v>
    </oc>
    <nc r="F20">
      <f>F21+F22</f>
    </nc>
    <ndxf>
      <alignment vertical="top" wrapText="0" readingOrder="0"/>
    </ndxf>
  </rcc>
  <rfmt sheetId="1" sqref="B11:B12" start="0" length="2147483647">
    <dxf>
      <font>
        <color rgb="FFFF0000"/>
      </font>
    </dxf>
  </rfmt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2" sId="1">
    <nc r="F7">
      <f>'H:\БЮДЖЕТ\Budj_2026\ПРОЕКТ БЮДЖЕТА\Запрос КСП\[П. 1 Ожидаемая оценка 2025 Налоговые и неналоговые.xlsx]Прил.1 _Табл.1'!$C$9</f>
    </nc>
  </rcc>
  <rcc rId="803" sId="1">
    <nc r="F8">
      <f>'H:\БЮДЖЕТ\Budj_2026\ПРОЕКТ БЮДЖЕТА\Запрос КСП\[П. 1 Ожидаемая оценка 2025 Налоговые и неналоговые.xlsx]Прил.1 _Табл.1'!$C$10</f>
    </nc>
  </rcc>
  <rcc rId="804" sId="1">
    <nc r="F10">
      <f>'H:\БЮДЖЕТ\Budj_2026\ПРОЕКТ БЮДЖЕТА\Запрос КСП\[П. 1 Ожидаемая оценка 2025 Налоговые и неналоговые.xlsx]Прил.1 _Табл.1'!$C$12</f>
    </nc>
  </rcc>
  <rfmt sheetId="1" sqref="B11:B12" start="0" length="2147483647">
    <dxf>
      <font>
        <color theme="1"/>
      </font>
    </dxf>
  </rfmt>
  <rcc rId="805" sId="1">
    <nc r="F11">
      <f>'H:\БЮДЖЕТ\Budj_2026\ПРОЕКТ БЮДЖЕТА\Запрос КСП\[П. 1 Ожидаемая оценка 2025 Налоговые и неналоговые.xlsx]Прил.1 _Табл.1'!$C$14+'H:\БЮДЖЕТ\Budj_2026\ПРОЕКТ БЮДЖЕТА\Запрос КСП\[П. 1 Ожидаемая оценка 2025 Налоговые и неналоговые.xlsx]Прил.1 _Табл.1'!$C$15</f>
    </nc>
  </rcc>
  <rcc rId="806" sId="1">
    <nc r="F12">
      <f>'H:\БЮДЖЕТ\Budj_2026\ПРОЕКТ БЮДЖЕТА\Запрос КСП\[П. 1 Ожидаемая оценка 2025 Налоговые и неналоговые.xlsx]Прил.1 _Табл.1'!$C$13+'H:\БЮДЖЕТ\Budj_2026\ПРОЕКТ БЮДЖЕТА\Запрос КСП\[П. 1 Ожидаемая оценка 2025 Налоговые и неналоговые.xlsx]Прил.1 _Табл.1'!$C$16+'H:\БЮДЖЕТ\Budj_2026\ПРОЕКТ БЮДЖЕТА\Запрос КСП\[П. 1 Ожидаемая оценка 2025 Налоговые и неналоговые.xlsx]Прил.1 _Табл.1'!$C$17</f>
    </nc>
  </rcc>
  <rcc rId="807" sId="1">
    <nc r="F14">
      <f>'H:\БЮДЖЕТ\Budj_2026\ПРОЕКТ БЮДЖЕТА\Запрос КСП\[П. 1 Ожидаемая оценка 2025 Налоговые и неналоговые.xlsx]Прил.1 _Табл.1'!$C$19</f>
    </nc>
  </rcc>
  <rcc rId="808" sId="1">
    <nc r="F15">
      <f>'H:\БЮДЖЕТ\Budj_2026\ПРОЕКТ БЮДЖЕТА\Запрос КСП\[П. 1 Ожидаемая оценка 2025 Налоговые и неналоговые.xlsx]Прил.1 _Табл.1'!$C$20+'H:\БЮДЖЕТ\Budj_2026\ПРОЕКТ БЮДЖЕТА\Запрос КСП\[П. 1 Ожидаемая оценка 2025 Налоговые и неналоговые.xlsx]Прил.1 _Табл.1'!$C$21</f>
    </nc>
  </rcc>
  <rfmt sheetId="1" sqref="F15">
    <dxf>
      <numFmt numFmtId="171" formatCode="[&gt;=0.005]#,##0.00;[&lt;=-0.005]\-#,##0.00;#,##0.00"/>
    </dxf>
  </rfmt>
  <rfmt sheetId="1" sqref="F15">
    <dxf>
      <numFmt numFmtId="172" formatCode="[&gt;=0.005]#,##0.000;[&lt;=-0.005]\-#,##0.000;#,##0.000"/>
    </dxf>
  </rfmt>
  <rfmt sheetId="1" sqref="F14">
    <dxf>
      <numFmt numFmtId="171" formatCode="[&gt;=0.005]#,##0.00;[&lt;=-0.005]\-#,##0.00;#,##0.00"/>
    </dxf>
  </rfmt>
  <rfmt sheetId="1" sqref="F14">
    <dxf>
      <numFmt numFmtId="172" formatCode="[&gt;=0.005]#,##0.000;[&lt;=-0.005]\-#,##0.000;#,##0.000"/>
    </dxf>
  </rfmt>
  <rfmt sheetId="1" sqref="F14:F15">
    <dxf>
      <numFmt numFmtId="171" formatCode="[&gt;=0.005]#,##0.00;[&lt;=-0.005]\-#,##0.00;#,##0.00"/>
    </dxf>
  </rfmt>
  <rfmt sheetId="1" sqref="F14:F15">
    <dxf>
      <numFmt numFmtId="167" formatCode="[&gt;=0.005]#,##0.0;[&lt;=-0.005]\-#,##0.0;#,##0.0"/>
    </dxf>
  </rfmt>
  <rfmt sheetId="1" sqref="F14:F15">
    <dxf>
      <numFmt numFmtId="171" formatCode="[&gt;=0.005]#,##0.00;[&lt;=-0.005]\-#,##0.00;#,##0.00"/>
    </dxf>
  </rfmt>
  <rfmt sheetId="1" sqref="F14:F15">
    <dxf>
      <numFmt numFmtId="167" formatCode="[&gt;=0.005]#,##0.0;[&lt;=-0.005]\-#,##0.0;#,##0.0"/>
    </dxf>
  </rfmt>
  <rfmt sheetId="1" sqref="F15">
    <dxf>
      <numFmt numFmtId="171" formatCode="[&gt;=0.005]#,##0.00;[&lt;=-0.005]\-#,##0.00;#,##0.00"/>
    </dxf>
  </rfmt>
  <rfmt sheetId="1" sqref="F15">
    <dxf>
      <numFmt numFmtId="172" formatCode="[&gt;=0.005]#,##0.000;[&lt;=-0.005]\-#,##0.000;#,##0.000"/>
    </dxf>
  </rfmt>
  <rfmt sheetId="1" sqref="F15">
    <dxf>
      <numFmt numFmtId="173" formatCode="[&gt;=0.005]#,##0.0000;[&lt;=-0.005]\-#,##0.0000;#,##0.0000"/>
    </dxf>
  </rfmt>
  <rfmt sheetId="1" sqref="F15">
    <dxf>
      <numFmt numFmtId="172" formatCode="[&gt;=0.005]#,##0.000;[&lt;=-0.005]\-#,##0.000;#,##0.000"/>
    </dxf>
  </rfmt>
  <rfmt sheetId="1" sqref="F15">
    <dxf>
      <numFmt numFmtId="171" formatCode="[&gt;=0.005]#,##0.00;[&lt;=-0.005]\-#,##0.00;#,##0.00"/>
    </dxf>
  </rfmt>
  <rfmt sheetId="1" sqref="F15">
    <dxf>
      <numFmt numFmtId="167" formatCode="[&gt;=0.005]#,##0.0;[&lt;=-0.005]\-#,##0.0;#,##0.0"/>
    </dxf>
  </rfmt>
  <rcc rId="809" sId="1">
    <nc r="F17">
      <f>'H:\БЮДЖЕТ\Budj_2026\ПРОЕКТ БЮДЖЕТА\Запрос КСП\[П. 1 Ожидаемая оценка 2025 Налоговые и неналоговые.xlsx]Прил.1 _Табл.1'!$C$23</f>
    </nc>
  </rcc>
  <rcc rId="810" sId="1">
    <nc r="F18">
      <f>'H:\БЮДЖЕТ\Budj_2026\ПРОЕКТ БЮДЖЕТА\Запрос КСП\[П. 1 Ожидаемая оценка 2025 Налоговые и неналоговые.xlsx]Прил.1 _Табл.1'!$C$24</f>
    </nc>
  </rcc>
  <rcc rId="811" sId="1">
    <nc r="F19">
      <f>'H:\БЮДЖЕТ\Budj_2026\ПРОЕКТ БЮДЖЕТА\Запрос КСП\[П. 1 Ожидаемая оценка 2025 Налоговые и неналоговые.xlsx]Прил.1 _Табл.1'!$C$27</f>
    </nc>
  </rcc>
  <rcc rId="812" sId="1" numFmtId="4">
    <oc r="F13">
      <f>+F14+F15</f>
    </oc>
    <nc r="F13">
      <v>4548626.3</v>
    </nc>
  </rcc>
  <rcc rId="813" sId="1" numFmtId="4">
    <oc r="F14">
      <f>'H:\БЮДЖЕТ\Budj_2026\ПРОЕКТ БЮДЖЕТА\Запрос КСП\[П. 1 Ожидаемая оценка 2025 Налоговые и неналоговые.xlsx]Прил.1 _Табл.1'!$C$19</f>
    </oc>
    <nc r="F14">
      <f>'H:\БЮДЖЕТ\Budj_2026\ПРОЕКТ БЮДЖЕТА\Запрос КСП\[П. 1 Ожидаемая оценка 2025 Налоговые и неналоговые.xlsx]Прил.1 _Табл.1'!$C$19</f>
    </nc>
  </rcc>
  <rcc rId="814" sId="1" numFmtId="4">
    <oc r="F15">
      <f>'H:\БЮДЖЕТ\Budj_2026\ПРОЕКТ БЮДЖЕТА\Запрос КСП\[П. 1 Ожидаемая оценка 2025 Налоговые и неналоговые.xlsx]Прил.1 _Табл.1'!$C$20+'H:\БЮДЖЕТ\Budj_2026\ПРОЕКТ БЮДЖЕТА\Запрос КСП\[П. 1 Ожидаемая оценка 2025 Налоговые и неналоговые.xlsx]Прил.1 _Табл.1'!$C$21</f>
    </oc>
    <nc r="F15">
      <f>'H:\БЮДЖЕТ\Budj_2026\ПРОЕКТ БЮДЖЕТА\Запрос КСП\[П. 1 Ожидаемая оценка 2025 Налоговые и неналоговые.xlsx]Прил.1 _Табл.1'!$C$21+'H:\БЮДЖЕТ\Budj_2026\ПРОЕКТ БЮДЖЕТА\Запрос КСП\[П. 1 Ожидаемая оценка 2025 Налоговые и неналоговые.xlsx]Прил.1 _Табл.1'!$C$20</f>
    </nc>
  </rcc>
  <rfmt sheetId="1" sqref="F14:F15">
    <dxf>
      <numFmt numFmtId="171" formatCode="[&gt;=0.005]#,##0.00;[&lt;=-0.005]\-#,##0.00;#,##0.00"/>
    </dxf>
  </rfmt>
  <rfmt sheetId="1" sqref="F14:F15">
    <dxf>
      <numFmt numFmtId="172" formatCode="[&gt;=0.005]#,##0.000;[&lt;=-0.005]\-#,##0.000;#,##0.000"/>
    </dxf>
  </rfmt>
  <rfmt sheetId="1" sqref="F14:F15">
    <dxf>
      <numFmt numFmtId="171" formatCode="[&gt;=0.005]#,##0.00;[&lt;=-0.005]\-#,##0.00;#,##0.00"/>
    </dxf>
  </rfmt>
  <rcc rId="815" sId="1" numFmtId="4">
    <oc r="F15">
      <f>'H:\БЮДЖЕТ\Budj_2026\ПРОЕКТ БЮДЖЕТА\Запрос КСП\[П. 1 Ожидаемая оценка 2025 Налоговые и неналоговые.xlsx]Прил.1 _Табл.1'!$C$21+'H:\БЮДЖЕТ\Budj_2026\ПРОЕКТ БЮДЖЕТА\Запрос КСП\[П. 1 Ожидаемая оценка 2025 Налоговые и неналоговые.xlsx]Прил.1 _Табл.1'!$C$20</f>
    </oc>
    <nc r="F15">
      <v>267433.03999999998</v>
    </nc>
  </rcc>
  <rfmt sheetId="1" sqref="F14:F15">
    <dxf>
      <numFmt numFmtId="167" formatCode="[&gt;=0.005]#,##0.0;[&lt;=-0.005]\-#,##0.0;#,##0.0"/>
    </dxf>
  </rfmt>
  <rfmt sheetId="1" sqref="F14:F15">
    <dxf>
      <numFmt numFmtId="171" formatCode="[&gt;=0.005]#,##0.00;[&lt;=-0.005]\-#,##0.00;#,##0.00"/>
    </dxf>
  </rfmt>
  <rfmt sheetId="1" sqref="F14:F15">
    <dxf>
      <numFmt numFmtId="167" formatCode="[&gt;=0.005]#,##0.0;[&lt;=-0.005]\-#,##0.0;#,##0.0"/>
    </dxf>
  </rfmt>
  <rcc rId="816" sId="1">
    <nc r="F21">
      <f>'H:\БЮДЖЕТ\Budj_2026\ПРОЕКТ БЮДЖЕТА\Запрос КСП\[П. 1 Ожидаемая оценка 2025 Налоговые и неналоговые.xlsx]Прил.1 _Табл.1'!$C$29</f>
    </nc>
  </rcc>
  <rcc rId="817" sId="1">
    <nc r="F22">
      <f>'H:\БЮДЖЕТ\Budj_2026\ПРОЕКТ БЮДЖЕТА\Запрос КСП\[П. 1 Ожидаемая оценка 2025 Налоговые и неналоговые.xlsx]Прил.1 _Табл.1'!$C$30</f>
    </nc>
  </rcc>
  <rcc rId="818" sId="1">
    <nc r="F23">
      <f>'H:\БЮДЖЕТ\Budj_2026\ПРОЕКТ БЮДЖЕТА\Запрос КСП\[П. 1 Ожидаемая оценка 2025 Налоговые и неналоговые.xlsx]Прил.1 _Табл.1'!$C$31</f>
    </nc>
  </rcc>
  <rcc rId="819" sId="1">
    <nc r="F24">
      <f>'H:\БЮДЖЕТ\Budj_2026\ПРОЕКТ БЮДЖЕТА\Запрос КСП\[П. 1 Ожидаемая оценка 2025 Налоговые и неналоговые.xlsx]Прил.1 _Табл.1'!$C$32</f>
    </nc>
  </rcc>
  <rcc rId="820" sId="1">
    <nc r="F25">
      <f>'H:\БЮДЖЕТ\Budj_2026\ПРОЕКТ БЮДЖЕТА\Запрос КСП\[П. 1 Ожидаемая оценка 2025 Налоговые и неналоговые.xlsx]Прил.1 _Табл.1'!$C$34</f>
    </nc>
  </rcc>
  <rcc rId="821" sId="1">
    <nc r="F26">
      <f>'H:\БЮДЖЕТ\Budj_2026\ПРОЕКТ БЮДЖЕТА\Запрос КСП\[П. 1 Ожидаемая оценка 2025 Налоговые и неналоговые.xlsx]Прил.1 _Табл.1'!$C$44</f>
    </nc>
  </rcc>
  <rcc rId="822" sId="1">
    <nc r="F27">
      <f>'H:\БЮДЖЕТ\Budj_2026\ПРОЕКТ БЮДЖЕТА\Запрос КСП\[П. 1 Ожидаемая оценка 2025 Налоговые и неналоговые.xlsx]Прил.1 _Табл.1'!$C$48</f>
    </nc>
  </rcc>
  <rcc rId="823" sId="1">
    <nc r="F28">
      <f>'H:\БЮДЖЕТ\Budj_2026\ПРОЕКТ БЮДЖЕТА\Запрос КСП\[П. 1 Ожидаемая оценка 2025 Налоговые и неналоговые.xlsx]Прил.1 _Табл.1'!$C$49</f>
    </nc>
  </rcc>
  <rcc rId="824" sId="1">
    <nc r="F29">
      <f>'H:\БЮДЖЕТ\Budj_2026\ПРОЕКТ БЮДЖЕТА\Запрос КСП\[П. 1 Ожидаемая оценка 2025 Налоговые и неналоговые.xlsx]Прил.1 _Табл.1'!$C$52</f>
    </nc>
  </rcc>
  <rcc rId="825" sId="1">
    <nc r="F30">
      <f>'H:\БЮДЖЕТ\Budj_2026\ПРОЕКТ БЮДЖЕТА\Запрос КСП\[П. 1 Ожидаемая оценка 2025 Налоговые и неналоговые.xlsx]Прил.1 _Табл.1'!$C$53</f>
    </nc>
  </rcc>
  <rcc rId="826" sId="1">
    <nc r="F31">
      <f>'H:\БЮДЖЕТ\Budj_2026\ПРОЕКТ БЮДЖЕТА\Запрос КСП\[П. 1 Ожидаемая оценка 2025 Налоговые и неналоговые.xlsx]Прил.1 _Табл.1'!$C$54</f>
    </nc>
  </rcc>
  <rcc rId="827" sId="1">
    <oc r="C5">
      <f>C6+C9+C13+C16+C20+C23+C24+C25+C26+C27+C28+C29+C30+C31</f>
    </oc>
    <nc r="C5">
      <f>C6+C9+C13+C16+C20+C23+C24+C25+C26+C27+C28+C29+C30+C31</f>
    </nc>
  </rcc>
  <rcc rId="828" sId="1">
    <oc r="D5">
      <f>D6+D9+D13+D16+D20+D23+D24+D25+D26+D27+D28+D29+D30+D31</f>
    </oc>
    <nc r="D5">
      <f>D6+D9+D13+D16+D20+D23+D24+D25+D26+D27+D28+D29+D30+D31</f>
    </nc>
  </rcc>
  <rcc rId="829" sId="1">
    <oc r="E5">
      <f>E6+E9+E13+E16+E20+E23+E24+E25+E26+E27+E28+E29+E30+E31-H65</f>
    </oc>
    <nc r="E5">
      <f>E6+E9+E13+E16+E20+E23+E24+E25+E26+E27+E28+E29+E30+E31</f>
    </nc>
  </rcc>
  <rfmt sheetId="1" sqref="F5" start="0" length="0">
    <dxf/>
  </rfmt>
  <rcc rId="830" sId="1">
    <oc r="F5">
      <f>D5-4543222</f>
    </oc>
    <nc r="F5">
      <f>F6+F9+F13+F16+F20+F23+F24+F25+F26+F27+F28+F29+F30+F31</f>
    </nc>
  </rcc>
  <rcc rId="831" sId="1" numFmtId="4">
    <oc r="F14">
      <f>'H:\БЮДЖЕТ\Budj_2026\ПРОЕКТ БЮДЖЕТА\Запрос КСП\[П. 1 Ожидаемая оценка 2025 Налоговые и неналоговые.xlsx]Прил.1 _Табл.1'!$C$19</f>
    </oc>
    <nc r="F14">
      <v>4281193.3</v>
    </nc>
  </rcc>
  <rdn rId="0" localSheetId="1" customView="1" name="Z_34D410AD_58B4_4435_9ED5_15CA72283006_.wvu.PrintArea" hidden="1" oldHidden="1">
    <formula>'ожид.оценка 2024'!$A$1:$G$75</formula>
  </rdn>
  <rdn rId="0" localSheetId="1" customView="1" name="Z_34D410AD_58B4_4435_9ED5_15CA72283006_.wvu.PrintTitles" hidden="1" oldHidden="1">
    <formula>'ожид.оценка 2024'!$3:$3</formula>
  </rdn>
  <rdn rId="0" localSheetId="1" customView="1" name="Z_34D410AD_58B4_4435_9ED5_15CA72283006_.wvu.Cols" hidden="1" oldHidden="1">
    <formula>'ожид.оценка 2024'!$C:$E,'ожид.оценка 2024'!$G:$G</formula>
  </rdn>
  <rdn rId="0" localSheetId="2" customView="1" name="Z_34D410AD_58B4_4435_9ED5_15CA72283006_.wvu.PrintArea" hidden="1" oldHidden="1">
    <formula>'по отчету отправка'!$A$1:$C$75</formula>
  </rdn>
  <rdn rId="0" localSheetId="2" customView="1" name="Z_34D410AD_58B4_4435_9ED5_15CA72283006_.wvu.PrintTitles" hidden="1" oldHidden="1">
    <formula>'по отчету отправка'!$3:$3</formula>
  </rdn>
  <rdn rId="0" localSheetId="2" customView="1" name="Z_34D410AD_58B4_4435_9ED5_15CA72283006_.wvu.Rows" hidden="1" oldHidden="1">
    <formula>'по отчету отправка'!$41:$42</formula>
  </rdn>
  <rdn rId="0" localSheetId="3" customView="1" name="Z_34D410AD_58B4_4435_9ED5_15CA72283006_.wvu.PrintArea" hidden="1" oldHidden="1">
    <formula>'по отчету руб'!$A$1:$C$74</formula>
  </rdn>
  <rdn rId="0" localSheetId="3" customView="1" name="Z_34D410AD_58B4_4435_9ED5_15CA72283006_.wvu.PrintTitles" hidden="1" oldHidden="1">
    <formula>'по отчету руб'!$3:$3</formula>
  </rdn>
  <rdn rId="0" localSheetId="3" customView="1" name="Z_34D410AD_58B4_4435_9ED5_15CA72283006_.wvu.Rows" hidden="1" oldHidden="1">
    <formula>'по отчету руб'!$13:$13,'по отчету руб'!$16:$16,'по отчету руб'!$40:$41,'по отчету руб'!$44:$44,'по отчету руб'!$71:$71</formula>
  </rdn>
  <rdn rId="0" localSheetId="4" customView="1" name="Z_34D410AD_58B4_4435_9ED5_15CA72283006_.wvu.PrintArea" hidden="1" oldHidden="1">
    <formula>'по отчету (3)'!$A$1:$C$74</formula>
  </rdn>
  <rdn rId="0" localSheetId="4" customView="1" name="Z_34D410AD_58B4_4435_9ED5_15CA72283006_.wvu.PrintTitles" hidden="1" oldHidden="1">
    <formula>'по отчету (3)'!$3:$3</formula>
  </rdn>
  <rdn rId="0" localSheetId="4" customView="1" name="Z_34D410AD_58B4_4435_9ED5_15CA72283006_.wvu.Rows" hidden="1" oldHidden="1">
    <formula>'по отчету (3)'!$13:$13,'по отчету (3)'!$16:$16,'по отчету (3)'!$40:$41,'по отчету (3)'!$44:$44,'по отчету (3)'!$71:$71</formula>
  </rdn>
  <rdn rId="0" localSheetId="5" customView="1" name="Z_34D410AD_58B4_4435_9ED5_15CA72283006_.wvu.PrintArea" hidden="1" oldHidden="1">
    <formula>'план по отчету'!$A$1:$D$78</formula>
  </rdn>
  <rdn rId="0" localSheetId="5" customView="1" name="Z_34D410AD_58B4_4435_9ED5_15CA72283006_.wvu.PrintTitles" hidden="1" oldHidden="1">
    <formula>'план по отчету'!$3:$3</formula>
  </rdn>
  <rdn rId="0" localSheetId="5" customView="1" name="Z_34D410AD_58B4_4435_9ED5_15CA72283006_.wvu.Rows" hidden="1" oldHidden="1">
    <formula>'план по отчету'!$13:$13,'план по отчету'!$16:$16,'план по отчету'!$44:$45,'план по отчету'!$48:$48,'план по отчету'!$75:$75</formula>
  </rdn>
  <rdn rId="0" localSheetId="6" customView="1" name="Z_34D410AD_58B4_4435_9ED5_15CA72283006_.wvu.PrintArea" hidden="1" oldHidden="1">
    <formula>'на отправку'!$A$1:$C$78</formula>
  </rdn>
  <rdn rId="0" localSheetId="6" customView="1" name="Z_34D410AD_58B4_4435_9ED5_15CA72283006_.wvu.PrintTitles" hidden="1" oldHidden="1">
    <formula>'на отправку'!$3:$3</formula>
  </rdn>
  <rdn rId="0" localSheetId="6" customView="1" name="Z_34D410AD_58B4_4435_9ED5_15CA72283006_.wvu.Rows" hidden="1" oldHidden="1">
    <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formula>
  </rdn>
  <rdn rId="0" localSheetId="7" customView="1" name="Z_34D410AD_58B4_4435_9ED5_15CA72283006_.wvu.PrintArea" hidden="1" oldHidden="1">
    <formula>'по отчету'!$A$1:$C$78</formula>
  </rdn>
  <rdn rId="0" localSheetId="7" customView="1" name="Z_34D410AD_58B4_4435_9ED5_15CA72283006_.wvu.PrintTitles" hidden="1" oldHidden="1">
    <formula>'по отчету'!$3:$3</formula>
  </rdn>
  <rdn rId="0" localSheetId="7" customView="1" name="Z_34D410AD_58B4_4435_9ED5_15CA72283006_.wvu.Rows" hidden="1" oldHidden="1">
    <formula>'по отчету'!$13:$13,'по отчету'!$16:$16,'по отчету'!$44:$45,'по отчету'!$48:$48,'по отчету'!$75:$75</formula>
  </rdn>
  <rcv guid="{34D410AD-58B4-4435-9ED5-15CA72283006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" sId="1" numFmtId="4">
    <oc r="B48">
      <v>1987503.9</v>
    </oc>
    <nc r="B48">
      <v>2001423.2</v>
    </nc>
  </rcc>
  <rcc rId="4" sId="1" numFmtId="4">
    <oc r="C48">
      <f>3766080.8+1191600</f>
    </oc>
    <nc r="C48">
      <v>4857330.0999999996</v>
    </nc>
  </rcc>
  <rcc rId="5" sId="1" numFmtId="4">
    <oc r="B49">
      <v>17010.599999999999</v>
    </oc>
    <nc r="B49">
      <v>20516.400000000001</v>
    </nc>
  </rcc>
  <rcc rId="6" sId="1" numFmtId="4">
    <oc r="C49">
      <v>25985.5</v>
    </oc>
    <nc r="C49">
      <v>30159.4</v>
    </nc>
  </rcc>
  <rcc rId="7" sId="1" numFmtId="4">
    <oc r="B50">
      <v>1011063.9</v>
    </oc>
    <nc r="B50">
      <v>938809.3</v>
    </nc>
  </rcc>
  <rcc rId="8" sId="1" numFmtId="4">
    <oc r="C50">
      <v>1347987.6</v>
    </oc>
    <nc r="C50">
      <v>1207107</v>
    </nc>
  </rcc>
  <rcc rId="9" sId="1" numFmtId="4">
    <oc r="B51">
      <v>11996201.9</v>
    </oc>
    <nc r="B51">
      <v>12181110.300000001</v>
    </nc>
  </rcc>
  <rcc rId="10" sId="1" numFmtId="4">
    <oc r="C51">
      <v>17783994.300000001</v>
    </oc>
    <nc r="C51">
      <v>15724709.199999999</v>
    </nc>
  </rcc>
  <rfmt sheetId="1" sqref="B52:C52">
    <dxf>
      <fill>
        <patternFill>
          <bgColor rgb="FFFFFF00"/>
        </patternFill>
      </fill>
    </dxf>
  </rfmt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3" sId="1" numFmtId="4">
    <oc r="F7">
      <f>'H:\БЮДЖЕТ\Budj_2026\ПРОЕКТ БЮДЖЕТА\Запрос КСП\[П. 1 Ожидаемая оценка 2025 Налоговые и неналоговые.xlsx]Прил.1 _Табл.1'!$C$9</f>
    </oc>
    <nc r="F7">
      <v>8059318</v>
    </nc>
  </rcc>
  <rcc rId="854" sId="1" numFmtId="4">
    <oc r="F8">
      <f>'H:\БЮДЖЕТ\Budj_2026\ПРОЕКТ БЮДЖЕТА\Запрос КСП\[П. 1 Ожидаемая оценка 2025 Налоговые и неналоговые.xlsx]Прил.1 _Табл.1'!$C$10</f>
    </oc>
    <nc r="F8">
      <v>20104272.699999999</v>
    </nc>
  </rcc>
  <rcc rId="855" sId="1" numFmtId="4">
    <oc r="F10">
      <f>'H:\БЮДЖЕТ\Budj_2026\ПРОЕКТ БЮДЖЕТА\Запрос КСП\[П. 1 Ожидаемая оценка 2025 Налоговые и неналоговые.xlsx]Прил.1 _Табл.1'!$C$12</f>
    </oc>
    <nc r="F10">
      <v>6685161.2000000002</v>
    </nc>
  </rcc>
  <rcc rId="856" sId="1" numFmtId="4">
    <oc r="F11">
      <f>'H:\БЮДЖЕТ\Budj_2026\ПРОЕКТ БЮДЖЕТА\Запрос КСП\[П. 1 Ожидаемая оценка 2025 Налоговые и неналоговые.xlsx]Прил.1 _Табл.1'!$C$14+'H:\БЮДЖЕТ\Budj_2026\ПРОЕКТ БЮДЖЕТА\Запрос КСП\[П. 1 Ожидаемая оценка 2025 Налоговые и неналоговые.xlsx]Прил.1 _Табл.1'!$C$15</f>
    </oc>
    <nc r="F11">
      <v>1280223.8999999999</v>
    </nc>
  </rcc>
  <rcc rId="857" sId="1" numFmtId="4">
    <oc r="F12">
      <f>'H:\БЮДЖЕТ\Budj_2026\ПРОЕКТ БЮДЖЕТА\Запрос КСП\[П. 1 Ожидаемая оценка 2025 Налоговые и неналоговые.xlsx]Прил.1 _Табл.1'!$C$13+'H:\БЮДЖЕТ\Budj_2026\ПРОЕКТ БЮДЖЕТА\Запрос КСП\[П. 1 Ожидаемая оценка 2025 Налоговые и неналоговые.xlsx]Прил.1 _Табл.1'!$C$16+'H:\БЮДЖЕТ\Budj_2026\ПРОЕКТ БЮДЖЕТА\Запрос КСП\[П. 1 Ожидаемая оценка 2025 Налоговые и неналоговые.xlsx]Прил.1 _Табл.1'!$C$17</f>
    </oc>
    <nc r="F12">
      <v>5404937.2999999998</v>
    </nc>
  </rcc>
  <rcc rId="858" sId="1" numFmtId="4">
    <oc r="F17">
      <f>'H:\БЮДЖЕТ\Budj_2026\ПРОЕКТ БЮДЖЕТА\Запрос КСП\[П. 1 Ожидаемая оценка 2025 Налоговые и неналоговые.xlsx]Прил.1 _Табл.1'!$C$23</f>
    </oc>
    <nc r="F17">
      <v>3528564</v>
    </nc>
  </rcc>
  <rcc rId="859" sId="1" numFmtId="4">
    <oc r="F18">
      <f>'H:\БЮДЖЕТ\Budj_2026\ПРОЕКТ БЮДЖЕТА\Запрос КСП\[П. 1 Ожидаемая оценка 2025 Налоговые и неналоговые.xlsx]Прил.1 _Табл.1'!$C$24</f>
    </oc>
    <nc r="F18">
      <v>1152787</v>
    </nc>
  </rcc>
  <rcc rId="860" sId="1" numFmtId="4">
    <oc r="F19">
      <f>'H:\БЮДЖЕТ\Budj_2026\ПРОЕКТ БЮДЖЕТА\Запрос КСП\[П. 1 Ожидаемая оценка 2025 Налоговые и неналоговые.xlsx]Прил.1 _Табл.1'!$C$27</f>
    </oc>
    <nc r="F19">
      <v>700</v>
    </nc>
  </rcc>
  <rcc rId="861" sId="1" numFmtId="4">
    <oc r="F21">
      <f>'H:\БЮДЖЕТ\Budj_2026\ПРОЕКТ БЮДЖЕТА\Запрос КСП\[П. 1 Ожидаемая оценка 2025 Налоговые и неналоговые.xlsx]Прил.1 _Табл.1'!$C$29</f>
    </oc>
    <nc r="F21">
      <v>2263454.4</v>
    </nc>
  </rcc>
  <rcc rId="862" sId="1" numFmtId="4">
    <oc r="F22">
      <f>'H:\БЮДЖЕТ\Budj_2026\ПРОЕКТ БЮДЖЕТА\Запрос КСП\[П. 1 Ожидаемая оценка 2025 Налоговые и неналоговые.xlsx]Прил.1 _Табл.1'!$C$30</f>
    </oc>
    <nc r="F22">
      <v>75963</v>
    </nc>
  </rcc>
  <rcc rId="863" sId="1" numFmtId="4">
    <oc r="F23">
      <f>'H:\БЮДЖЕТ\Budj_2026\ПРОЕКТ БЮДЖЕТА\Запрос КСП\[П. 1 Ожидаемая оценка 2025 Налоговые и неналоговые.xlsx]Прил.1 _Табл.1'!$C$31</f>
    </oc>
    <nc r="F23">
      <v>102230.5</v>
    </nc>
  </rcc>
  <rcc rId="864" sId="1" numFmtId="4">
    <oc r="F24">
      <f>'H:\БЮДЖЕТ\Budj_2026\ПРОЕКТ БЮДЖЕТА\Запрос КСП\[П. 1 Ожидаемая оценка 2025 Налоговые и неналоговые.xlsx]Прил.1 _Табл.1'!$C$32</f>
    </oc>
    <nc r="F24">
      <v>0</v>
    </nc>
  </rcc>
  <rcc rId="865" sId="1" numFmtId="4">
    <oc r="F25">
      <f>'H:\БЮДЖЕТ\Budj_2026\ПРОЕКТ БЮДЖЕТА\Запрос КСП\[П. 1 Ожидаемая оценка 2025 Налоговые и неналоговые.xlsx]Прил.1 _Табл.1'!$C$34</f>
    </oc>
    <nc r="F25">
      <v>386780.5</v>
    </nc>
  </rcc>
  <rcc rId="866" sId="1" numFmtId="4">
    <oc r="F26">
      <f>'H:\БЮДЖЕТ\Budj_2026\ПРОЕКТ БЮДЖЕТА\Запрос КСП\[П. 1 Ожидаемая оценка 2025 Налоговые и неналоговые.xlsx]Прил.1 _Табл.1'!$C$44</f>
    </oc>
    <nc r="F26">
      <v>1353185.1</v>
    </nc>
  </rcc>
  <rcc rId="867" sId="1" numFmtId="4">
    <oc r="F27">
      <f>'H:\БЮДЖЕТ\Budj_2026\ПРОЕКТ БЮДЖЕТА\Запрос КСП\[П. 1 Ожидаемая оценка 2025 Налоговые и неналоговые.xlsx]Прил.1 _Табл.1'!$C$48</f>
    </oc>
    <nc r="F27">
      <v>203783.2</v>
    </nc>
  </rcc>
  <rcc rId="868" sId="1" numFmtId="4">
    <oc r="F28">
      <f>'H:\БЮДЖЕТ\Budj_2026\ПРОЕКТ БЮДЖЕТА\Запрос КСП\[П. 1 Ожидаемая оценка 2025 Налоговые и неналоговые.xlsx]Прил.1 _Табл.1'!$C$49</f>
    </oc>
    <nc r="F28">
      <v>68050.2</v>
    </nc>
  </rcc>
  <rcc rId="869" sId="1" numFmtId="4">
    <oc r="F29">
      <f>'H:\БЮДЖЕТ\Budj_2026\ПРОЕКТ БЮДЖЕТА\Запрос КСП\[П. 1 Ожидаемая оценка 2025 Налоговые и неналоговые.xlsx]Прил.1 _Табл.1'!$C$52</f>
    </oc>
    <nc r="F29">
      <v>7</v>
    </nc>
  </rcc>
  <rcc rId="870" sId="1" numFmtId="4">
    <oc r="F30">
      <f>'H:\БЮДЖЕТ\Budj_2026\ПРОЕКТ БЮДЖЕТА\Запрос КСП\[П. 1 Ожидаемая оценка 2025 Налоговые и неналоговые.xlsx]Прил.1 _Табл.1'!$C$53</f>
    </oc>
    <nc r="F30">
      <v>854191.8</v>
    </nc>
  </rcc>
  <rcc rId="871" sId="1" numFmtId="4">
    <oc r="F31">
      <f>'H:\БЮДЖЕТ\Budj_2026\ПРОЕКТ БЮДЖЕТА\Запрос КСП\[П. 1 Ожидаемая оценка 2025 Налоговые и неналоговые.xlsx]Прил.1 _Табл.1'!$C$54</f>
    </oc>
    <nc r="F31">
      <v>10000.200000000001</v>
    </nc>
  </rcc>
  <rcv guid="{34D410AD-58B4-4435-9ED5-15CA72283006}" action="delete"/>
  <rdn rId="0" localSheetId="1" customView="1" name="Z_34D410AD_58B4_4435_9ED5_15CA72283006_.wvu.PrintArea" hidden="1" oldHidden="1">
    <formula>'ожид.оценка 2024'!$A$1:$G$75</formula>
    <oldFormula>'ожид.оценка 2024'!$A$1:$G$75</oldFormula>
  </rdn>
  <rdn rId="0" localSheetId="1" customView="1" name="Z_34D410AD_58B4_4435_9ED5_15CA72283006_.wvu.PrintTitles" hidden="1" oldHidden="1">
    <formula>'ожид.оценка 2024'!$3:$3</formula>
    <oldFormula>'ожид.оценка 2024'!$3:$3</oldFormula>
  </rdn>
  <rdn rId="0" localSheetId="1" customView="1" name="Z_34D410AD_58B4_4435_9ED5_15CA72283006_.wvu.Cols" hidden="1" oldHidden="1">
    <formula>'ожид.оценка 2024'!$C:$E,'ожид.оценка 2024'!$G:$G</formula>
    <oldFormula>'ожид.оценка 2024'!$C:$E,'ожид.оценка 2024'!$G:$G</oldFormula>
  </rdn>
  <rdn rId="0" localSheetId="2" customView="1" name="Z_34D410AD_58B4_4435_9ED5_15CA72283006_.wvu.PrintArea" hidden="1" oldHidden="1">
    <formula>'по отчету отправка'!$A$1:$C$75</formula>
    <oldFormula>'по отчету отправка'!$A$1:$C$75</oldFormula>
  </rdn>
  <rdn rId="0" localSheetId="2" customView="1" name="Z_34D410AD_58B4_4435_9ED5_15CA72283006_.wvu.PrintTitles" hidden="1" oldHidden="1">
    <formula>'по отчету отправка'!$3:$3</formula>
    <oldFormula>'по отчету отправка'!$3:$3</oldFormula>
  </rdn>
  <rdn rId="0" localSheetId="2" customView="1" name="Z_34D410AD_58B4_4435_9ED5_15CA72283006_.wvu.Rows" hidden="1" oldHidden="1">
    <formula>'по отчету отправка'!$41:$42</formula>
    <oldFormula>'по отчету отправка'!$41:$42</oldFormula>
  </rdn>
  <rdn rId="0" localSheetId="3" customView="1" name="Z_34D410AD_58B4_4435_9ED5_15CA72283006_.wvu.PrintArea" hidden="1" oldHidden="1">
    <formula>'по отчету руб'!$A$1:$C$74</formula>
    <oldFormula>'по отчету руб'!$A$1:$C$74</oldFormula>
  </rdn>
  <rdn rId="0" localSheetId="3" customView="1" name="Z_34D410AD_58B4_4435_9ED5_15CA72283006_.wvu.PrintTitles" hidden="1" oldHidden="1">
    <formula>'по отчету руб'!$3:$3</formula>
    <oldFormula>'по отчету руб'!$3:$3</oldFormula>
  </rdn>
  <rdn rId="0" localSheetId="3" customView="1" name="Z_34D410AD_58B4_4435_9ED5_15CA72283006_.wvu.Rows" hidden="1" oldHidden="1">
    <formula>'по отчету руб'!$13:$13,'по отчету руб'!$16:$16,'по отчету руб'!$40:$41,'по отчету руб'!$44:$44,'по отчету руб'!$71:$71</formula>
    <oldFormula>'по отчету руб'!$13:$13,'по отчету руб'!$16:$16,'по отчету руб'!$40:$41,'по отчету руб'!$44:$44,'по отчету руб'!$71:$71</oldFormula>
  </rdn>
  <rdn rId="0" localSheetId="4" customView="1" name="Z_34D410AD_58B4_4435_9ED5_15CA72283006_.wvu.PrintArea" hidden="1" oldHidden="1">
    <formula>'по отчету (3)'!$A$1:$C$74</formula>
    <oldFormula>'по отчету (3)'!$A$1:$C$74</oldFormula>
  </rdn>
  <rdn rId="0" localSheetId="4" customView="1" name="Z_34D410AD_58B4_4435_9ED5_15CA72283006_.wvu.PrintTitles" hidden="1" oldHidden="1">
    <formula>'по отчету (3)'!$3:$3</formula>
    <oldFormula>'по отчету (3)'!$3:$3</oldFormula>
  </rdn>
  <rdn rId="0" localSheetId="4" customView="1" name="Z_34D410AD_58B4_4435_9ED5_15CA72283006_.wvu.Rows" hidden="1" oldHidden="1">
    <formula>'по отчету (3)'!$13:$13,'по отчету (3)'!$16:$16,'по отчету (3)'!$40:$41,'по отчету (3)'!$44:$44,'по отчету (3)'!$71:$71</formula>
    <oldFormula>'по отчету (3)'!$13:$13,'по отчету (3)'!$16:$16,'по отчету (3)'!$40:$41,'по отчету (3)'!$44:$44,'по отчету (3)'!$71:$71</oldFormula>
  </rdn>
  <rdn rId="0" localSheetId="5" customView="1" name="Z_34D410AD_58B4_4435_9ED5_15CA72283006_.wvu.PrintArea" hidden="1" oldHidden="1">
    <formula>'план по отчету'!$A$1:$D$78</formula>
    <oldFormula>'план по отчету'!$A$1:$D$78</oldFormula>
  </rdn>
  <rdn rId="0" localSheetId="5" customView="1" name="Z_34D410AD_58B4_4435_9ED5_15CA72283006_.wvu.PrintTitles" hidden="1" oldHidden="1">
    <formula>'план по отчету'!$3:$3</formula>
    <oldFormula>'план по отчету'!$3:$3</oldFormula>
  </rdn>
  <rdn rId="0" localSheetId="5" customView="1" name="Z_34D410AD_58B4_4435_9ED5_15CA72283006_.wvu.Rows" hidden="1" oldHidden="1">
    <formula>'план по отчету'!$13:$13,'план по отчету'!$16:$16,'план по отчету'!$44:$45,'план по отчету'!$48:$48,'план по отчету'!$75:$75</formula>
    <oldFormula>'план по отчету'!$13:$13,'план по отчету'!$16:$16,'план по отчету'!$44:$45,'план по отчету'!$48:$48,'план по отчету'!$75:$75</oldFormula>
  </rdn>
  <rdn rId="0" localSheetId="6" customView="1" name="Z_34D410AD_58B4_4435_9ED5_15CA72283006_.wvu.PrintArea" hidden="1" oldHidden="1">
    <formula>'на отправку'!$A$1:$C$78</formula>
    <oldFormula>'на отправку'!$A$1:$C$78</oldFormula>
  </rdn>
  <rdn rId="0" localSheetId="6" customView="1" name="Z_34D410AD_58B4_4435_9ED5_15CA72283006_.wvu.PrintTitles" hidden="1" oldHidden="1">
    <formula>'на отправку'!$3:$3</formula>
    <oldFormula>'на отправку'!$3:$3</oldFormula>
  </rdn>
  <rdn rId="0" localSheetId="6" customView="1" name="Z_34D410AD_58B4_4435_9ED5_15CA72283006_.wvu.Rows" hidden="1" oldHidden="1">
    <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formula>
    <old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oldFormula>
  </rdn>
  <rdn rId="0" localSheetId="7" customView="1" name="Z_34D410AD_58B4_4435_9ED5_15CA72283006_.wvu.PrintArea" hidden="1" oldHidden="1">
    <formula>'по отчету'!$A$1:$C$78</formula>
    <oldFormula>'по отчету'!$A$1:$C$78</oldFormula>
  </rdn>
  <rdn rId="0" localSheetId="7" customView="1" name="Z_34D410AD_58B4_4435_9ED5_15CA72283006_.wvu.PrintTitles" hidden="1" oldHidden="1">
    <formula>'по отчету'!$3:$3</formula>
    <oldFormula>'по отчету'!$3:$3</oldFormula>
  </rdn>
  <rdn rId="0" localSheetId="7" customView="1" name="Z_34D410AD_58B4_4435_9ED5_15CA72283006_.wvu.Rows" hidden="1" oldHidden="1">
    <formula>'по отчету'!$13:$13,'по отчету'!$16:$16,'по отчету'!$44:$45,'по отчету'!$48:$48,'по отчету'!$75:$75</formula>
    <oldFormula>'по отчету'!$13:$13,'по отчету'!$16:$16,'по отчету'!$44:$45,'по отчету'!$48:$48,'по отчету'!$75:$75</oldFormula>
  </rdn>
  <rcv guid="{34D410AD-58B4-4435-9ED5-15CA72283006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3" sId="1">
    <oc r="H4">
      <f>D5-E5</f>
    </oc>
    <nc r="H4"/>
  </rcc>
  <rcc rId="894" sId="1">
    <oc r="I4">
      <f>D5-F5</f>
    </oc>
    <nc r="I4"/>
  </rcc>
  <rcc rId="895" sId="1">
    <oc r="H5">
      <v>1045894.1</v>
    </oc>
    <nc r="H5"/>
  </rcc>
  <rcc rId="896" sId="1">
    <oc r="H65">
      <f>3781432+402144.5</f>
    </oc>
    <nc r="H65"/>
  </rcc>
  <rcc rId="897" sId="1">
    <oc r="H67">
      <f>(9525015.4+F67+F66)/F5*100</f>
    </oc>
    <nc r="H67"/>
  </rcc>
  <rcc rId="898" sId="1">
    <oc r="J73" t="inlineStr">
      <is>
        <t>снизить долг под 25%</t>
      </is>
    </oc>
    <nc r="J73"/>
  </rcc>
  <rcc rId="899" sId="1">
    <oc r="H74">
      <f>9525015.4+E67+E66</f>
    </oc>
    <nc r="H74"/>
  </rcc>
  <rcc rId="900" sId="1">
    <oc r="I74">
      <f>F5*25/100</f>
    </oc>
    <nc r="I74"/>
  </rcc>
  <rcc rId="901" sId="1">
    <oc r="J74">
      <f>H74-I74</f>
    </oc>
    <nc r="J74"/>
  </rcc>
  <rcc rId="902" sId="1">
    <oc r="H75">
      <f>9525015.4+F67+F66</f>
    </oc>
    <nc r="H75"/>
  </rcc>
  <rcc rId="903" sId="1">
    <oc r="I75">
      <f>F5*24.99/100</f>
    </oc>
    <nc r="I75"/>
  </rcc>
  <rcc rId="904" sId="1">
    <oc r="I77">
      <f>I75-H75</f>
    </oc>
    <nc r="I77"/>
  </rcc>
  <rcc rId="905" sId="1">
    <oc r="F78">
      <f>29637015.1+C66+C67+C68</f>
    </oc>
    <nc r="F78"/>
  </rcc>
  <rcc rId="906" sId="1">
    <oc r="F79">
      <f>29637015.1+F67+F68+F66-1612000-1545000</f>
    </oc>
    <nc r="F79"/>
  </rcc>
  <rcc rId="907" sId="1" numFmtId="4">
    <oc r="F5">
      <f>F6+F9+F13+F16+F20+F23+F24+F25+F26+F27+F28+F29+F30+F31</f>
    </oc>
    <nc r="F5">
      <v>49397075.100000001</v>
    </nc>
  </rcc>
  <rcc rId="908" sId="1" numFmtId="4">
    <oc r="F6">
      <f>+F7+F8</f>
    </oc>
    <nc r="F6">
      <v>28163590.699999999</v>
    </nc>
  </rcc>
  <rcc rId="909" sId="1" numFmtId="4">
    <oc r="F9">
      <f>+F10</f>
    </oc>
    <nc r="F9">
      <v>6685161.2000000002</v>
    </nc>
  </rcc>
  <rcc rId="910" sId="1" numFmtId="4">
    <oc r="F16">
      <f>+F17+F18+F19</f>
    </oc>
    <nc r="F16">
      <v>4682051</v>
    </nc>
  </rcc>
  <rcc rId="911" sId="1" numFmtId="4">
    <oc r="F20">
      <f>F21+F22</f>
    </oc>
    <nc r="F20">
      <v>2339417.4</v>
    </nc>
  </rcc>
  <rcc rId="912" sId="1" numFmtId="4">
    <oc r="F32">
      <f>F33+F41+F42+F43+F44+F45</f>
    </oc>
    <nc r="F32">
      <v>29330178.699999999</v>
    </nc>
  </rcc>
  <rcc rId="913" sId="1" numFmtId="4">
    <oc r="F33">
      <f>F34+F38+F39+F40</f>
    </oc>
    <nc r="F33">
      <v>23611473.399999999</v>
    </nc>
  </rcc>
  <rcc rId="914" sId="1" numFmtId="4">
    <oc r="F46">
      <f>F32+F5</f>
    </oc>
    <nc r="F46">
      <v>78727253.799999997</v>
    </nc>
  </rcc>
  <rcc rId="915" sId="1" numFmtId="4">
    <oc r="F48">
      <f>4857330.1-1516781.7+40000+147304.8+38000</f>
    </oc>
    <nc r="F48">
      <v>3565853.2</v>
    </nc>
  </rcc>
  <rcc rId="916" sId="1" numFmtId="4">
    <oc r="F63">
      <f>F48+F49+F50+F51+F53+F54+F55+F56+F57+F58+F59+F60+F61+F62</f>
    </oc>
    <nc r="F63">
      <v>81367645.700000003</v>
    </nc>
  </rcc>
  <rcc rId="917" sId="1" numFmtId="4">
    <oc r="F64">
      <f>F46-F63</f>
    </oc>
    <nc r="F64">
      <v>-2640391.9</v>
    </nc>
  </rcc>
  <rcc rId="918" sId="1" numFmtId="4">
    <oc r="F65">
      <f>F66+F67+F68+F69+F74</f>
    </oc>
    <nc r="F65">
      <v>2640391.9</v>
    </nc>
  </rcc>
  <rcc rId="919" sId="1" numFmtId="4">
    <oc r="F67">
      <f>3960068.8-1045894.1-200000+26854+40000+38000</f>
    </oc>
    <nc r="F67">
      <v>2819028.7</v>
    </nc>
  </rcc>
  <rcc rId="920" sId="1" numFmtId="4">
    <oc r="B5">
      <f>B6+B9+B13+B16+B20+B23+B24+B25+B26+B27+B28+B29+B30+B31</f>
    </oc>
    <nc r="B5">
      <v>33961013.200000003</v>
    </nc>
  </rcc>
  <rcc rId="921" sId="1" numFmtId="4">
    <oc r="B6">
      <f>+B7+B8</f>
    </oc>
    <nc r="B6">
      <v>18674956.100000001</v>
    </nc>
  </rcc>
  <rcc rId="922" sId="1" numFmtId="4">
    <oc r="B9">
      <f>+B10</f>
    </oc>
    <nc r="B9">
      <v>4813035.0999999996</v>
    </nc>
  </rcc>
  <rcc rId="923" sId="1" numFmtId="4">
    <oc r="B12">
      <f>B10-B11</f>
    </oc>
    <nc r="B12">
      <v>3901160.8</v>
    </nc>
  </rcc>
  <rcc rId="924" sId="1" numFmtId="4">
    <oc r="B13">
      <f>+B14+B15</f>
    </oc>
    <nc r="B13">
      <v>3412501.2</v>
    </nc>
  </rcc>
  <rcc rId="925" sId="1" numFmtId="4">
    <oc r="B15">
      <f>198173.7+1879.7</f>
    </oc>
    <nc r="B15">
      <v>200053.4</v>
    </nc>
  </rcc>
  <rcc rId="926" sId="1" numFmtId="4">
    <oc r="B16">
      <f>+B17+B18+B19</f>
    </oc>
    <nc r="B16">
      <v>3143785.2</v>
    </nc>
  </rcc>
  <rcc rId="927" sId="1" numFmtId="4">
    <oc r="B20">
      <f>B21+B22</f>
    </oc>
    <nc r="B20">
      <v>1860105.2</v>
    </nc>
  </rcc>
  <rcc rId="928" sId="1" numFmtId="4">
    <oc r="B32">
      <f>B33+B41+B42+B43+B44+B45</f>
    </oc>
    <nc r="B32">
      <v>21371823.600000001</v>
    </nc>
  </rcc>
  <rcc rId="929" sId="1" numFmtId="4">
    <oc r="B33">
      <f>B34+B38+B39+B40</f>
    </oc>
    <nc r="B33">
      <v>17231374.199999999</v>
    </nc>
  </rcc>
  <rcc rId="930" sId="1" numFmtId="4">
    <oc r="B46">
      <f>B32+B5</f>
    </oc>
    <nc r="B46">
      <v>55332836.799999997</v>
    </nc>
  </rcc>
  <rcc rId="931" sId="1" numFmtId="4">
    <oc r="B63">
      <f>SUM(B48:B62)-B52</f>
    </oc>
    <nc r="B63">
      <v>54856960.799999997</v>
    </nc>
  </rcc>
  <rcc rId="932" sId="1" numFmtId="4">
    <oc r="B64">
      <f>B46-B63</f>
    </oc>
    <nc r="B64">
      <v>475876</v>
    </nc>
  </rcc>
  <rcc rId="933" sId="1" numFmtId="4">
    <oc r="B65">
      <f>B66+B67+B68+B69+B74</f>
    </oc>
    <nc r="B65">
      <v>-475876</v>
    </nc>
  </rcc>
  <rcc rId="934" sId="1" numFmtId="4">
    <oc r="B69">
      <f>B70+B71+B72+B73</f>
    </oc>
    <nc r="B69">
      <v>8836156.1999999993</v>
    </nc>
  </rcc>
  <rrc rId="935" sId="1" ref="G1:G1048576" action="deleteCol">
    <undo index="0" exp="area" ref3D="1" dr="$A$3:$XFD$3" dn="Z_BD55AB36_084D_4C26_BAB2_482C24A270C8_.wvu.PrintTitles" sId="1"/>
    <undo index="0" exp="area" ref3D="1" dr="$A$1:$G$75" dn="Z_BD55AB36_084D_4C26_BAB2_482C24A270C8_.wvu.PrintArea" sId="1"/>
    <undo index="2" exp="area" ref3D="1" dr="$G$1:$G$1048576" dn="Z_BD55AB36_084D_4C26_BAB2_482C24A270C8_.wvu.Cols" sId="1"/>
    <undo index="2" exp="area" ref3D="1" dr="$G$1:$G$1048576" dn="Z_34D410AD_58B4_4435_9ED5_15CA72283006_.wvu.Cols" sId="1"/>
    <undo index="0" exp="area" ref3D="1" dr="$A$3:$XFD$3" dn="Z_34D410AD_58B4_4435_9ED5_15CA72283006_.wvu.PrintTitles" sId="1"/>
    <undo index="0" exp="area" ref3D="1" dr="$A$1:$G$75" dn="Z_34D410AD_58B4_4435_9ED5_15CA72283006_.wvu.PrintArea" sId="1"/>
    <undo index="0" exp="area" ref3D="1" dr="$A$3:$XFD$3" dn="Z_0E91F95C_B82B_4A7A_9432_6E8B0967BE54_.wvu.PrintTitles" sId="1"/>
    <undo index="0" exp="area" ref3D="1" dr="$A$1:$G$75" dn="Область_печати" sId="1"/>
    <undo index="0" exp="area" ref3D="1" dr="$A$3:$XFD$3" dn="Заголовки_для_печати" sId="1"/>
    <rfmt sheetId="1" xfDxf="1" s="1" sqref="G1:G10485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2"/>
          <color auto="1"/>
          <name val="Times New Roman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1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G1" start="0" length="0">
      <dxf>
        <font>
          <b/>
          <sz val="12"/>
        </font>
        <alignment horizontal="center" vertical="center" readingOrder="0"/>
      </dxf>
    </rfmt>
    <rfmt sheetId="1" sqref="G2" start="0" length="0">
      <dxf>
        <alignment horizontal="right" wrapText="0" readingOrder="0"/>
      </dxf>
    </rfmt>
    <rcc rId="0" sId="1" dxf="1">
      <nc r="G3" t="inlineStr">
        <is>
          <t>Отклонение от СБР</t>
        </is>
      </nc>
      <ndxf>
        <numFmt numFmtId="3" formatCode="#,##0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fmt sheetId="1" sqref="G4" start="0" length="0">
      <dxf>
        <font>
          <b/>
          <sz val="12"/>
        </font>
        <numFmt numFmtId="165" formatCode="#,##0.0"/>
        <alignment horizont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cc rId="0" sId="1" dxf="1">
      <nc r="G5">
        <f>F5-D5</f>
      </nc>
      <ndxf>
        <font>
          <b/>
          <sz val="12"/>
        </font>
        <numFmt numFmtId="167" formatCode="[&gt;=0.005]#,##0.0;[&lt;=-0.005]\-#,##0.0;#,##0.0"/>
        <alignment horizontal="right" vertical="center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fmt sheetId="1" s="1" sqref="G6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7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8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9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10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11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12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13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14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15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16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17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18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19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20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21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22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23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24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25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26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27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28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29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30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31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cc rId="0" sId="1" dxf="1">
      <nc r="G32">
        <f>F32-D32</f>
      </nc>
      <ndxf>
        <font>
          <b/>
          <sz val="12"/>
        </font>
        <numFmt numFmtId="167" formatCode="[&gt;=0.005]#,##0.0;[&lt;=-0.005]\-#,##0.0;#,##0.0"/>
        <alignment horizontal="right" vertical="center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>
      <nc r="G33">
        <f>F33-D33</f>
      </nc>
      <ndxf>
        <numFmt numFmtId="167" formatCode="[&gt;=0.005]#,##0.0;[&lt;=-0.005]\-#,##0.0;#,##0.0"/>
        <alignment horizontal="right" vertical="center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34">
        <f>F34-D34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35">
        <f>F35-D35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36">
        <f>F36-D36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37">
        <f>F37-D37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38">
        <f>F38-D38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39">
        <f>F39-D39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40">
        <f>F40-D40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41">
        <f>F41-D41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42">
        <f>F42-D42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43">
        <f>F43-D43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44">
        <f>F44-D44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45">
        <f>F45-D45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>
      <nc r="G46">
        <f>F46-D46</f>
      </nc>
      <ndxf>
        <font>
          <b/>
          <sz val="12"/>
        </font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7">
        <f>F47-D47</f>
      </nc>
      <ndxf>
        <numFmt numFmtId="165" formatCode="#,##0.0"/>
        <alignment horizontal="right" vertical="center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48">
        <f>F48-D48</f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49">
        <f>F49-D49</f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50">
        <f>F50-D50</f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51">
        <f>F51-D51</f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52">
        <f>F52-D52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53">
        <f>F53-D53</f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54">
        <f>F54-D54</f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55">
        <f>F55-D55</f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56">
        <f>F56-D56</f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57">
        <f>F57-D57</f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58">
        <f>F58-D58</f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59">
        <f>F59-D59</f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60">
        <f>F60-D60</f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61">
        <f>F61-D61</f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62">
        <f>F62-D62</f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>
      <nc r="G63">
        <f>F63-D63</f>
      </nc>
      <ndxf>
        <font>
          <b/>
          <sz val="12"/>
        </font>
        <numFmt numFmtId="167" formatCode="[&gt;=0.005]#,##0.0;[&lt;=-0.005]\-#,##0.0;#,##0.0"/>
        <fill>
          <patternFill patternType="solid">
            <bgColor theme="0"/>
          </patternFill>
        </fill>
        <alignment horizontal="right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>
      <nc r="G64">
        <f>F64-D64</f>
      </nc>
      <ndxf>
        <font>
          <b/>
          <sz val="12"/>
        </font>
        <numFmt numFmtId="165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5">
        <f>F65-D65</f>
      </nc>
      <ndxf>
        <font>
          <b/>
          <sz val="12"/>
        </font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66">
        <f>F66-D66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67">
        <f>F67-C67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68">
        <f>F68-C68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69">
        <f>F69-D69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70">
        <f>F70-D70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71">
        <f>F71-D71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72">
        <f>F72-D72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73">
        <f>F73-D73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>
      <nc r="G74">
        <f>F74-D74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>
      <nc r="G75">
        <f>(9525015.4+F67+F66)/F5*100</f>
      </nc>
      <ndxf>
        <font>
          <b/>
          <sz val="12"/>
          <color rgb="FFFF0000"/>
        </font>
        <numFmt numFmtId="170" formatCode="#,##0.000_ ;\-#,##0.000\ "/>
        <alignment vertical="bottom" wrapText="0" readingOrder="0"/>
      </ndxf>
    </rcc>
    <rfmt sheetId="1" sqref="G76" start="0" length="0">
      <dxf>
        <alignment horizontal="left" readingOrder="0"/>
      </dxf>
    </rfmt>
    <rfmt sheetId="1" sqref="G80" start="0" length="0">
      <dxf>
        <alignment horizontal="left" readingOrder="0"/>
      </dxf>
    </rfmt>
    <rfmt sheetId="1" sqref="G86" start="0" length="0">
      <dxf>
        <alignment horizontal="left" readingOrder="0"/>
      </dxf>
    </rfmt>
    <rfmt sheetId="1" sqref="G87" start="0" length="0">
      <dxf>
        <font>
          <sz val="12"/>
          <color indexed="9"/>
        </font>
      </dxf>
    </rfmt>
  </rrc>
  <rrc rId="936" sId="1" ref="C1:C1048576" action="deleteCol">
    <undo index="0" exp="area" ref3D="1" dr="$A$3:$XFD$3" dn="Z_BD55AB36_084D_4C26_BAB2_482C24A270C8_.wvu.PrintTitles" sId="1"/>
    <undo index="1" exp="area" ref3D="1" dr="$C$1:$E$1048576" dn="Z_BD55AB36_084D_4C26_BAB2_482C24A270C8_.wvu.Cols" sId="1"/>
    <undo index="1" exp="area" ref3D="1" dr="$C$1:$E$1048576" dn="Z_34D410AD_58B4_4435_9ED5_15CA72283006_.wvu.Cols" sId="1"/>
    <undo index="0" exp="area" ref3D="1" dr="$A$3:$XFD$3" dn="Z_34D410AD_58B4_4435_9ED5_15CA72283006_.wvu.PrintTitles" sId="1"/>
    <undo index="0" exp="area" ref3D="1" dr="$A$3:$XFD$3" dn="Z_0E91F95C_B82B_4A7A_9432_6E8B0967BE54_.wvu.PrintTitles" sId="1"/>
    <undo index="0" exp="area" ref3D="1" dr="$A$3:$XFD$3" dn="Заголовки_для_печати" sId="1"/>
    <rfmt sheetId="1" xfDxf="1" s="1" sqref="C1:C10485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2"/>
          <color auto="1"/>
          <name val="Times New Roman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1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C1" start="0" length="0">
      <dxf>
        <font>
          <b/>
          <sz val="12"/>
        </font>
        <alignment horizontal="center" vertical="center" readingOrder="0"/>
      </dxf>
    </rfmt>
    <rfmt sheetId="1" sqref="C2" start="0" length="0">
      <dxf>
        <font>
          <b/>
          <sz val="12"/>
        </font>
        <alignment wrapText="0" readingOrder="0"/>
      </dxf>
    </rfmt>
    <rcc rId="0" sId="1" dxf="1">
      <nc r="C3" t="inlineStr">
        <is>
          <t>закон</t>
        </is>
      </nc>
      <ndxf>
        <font>
          <b/>
          <sz val="12"/>
        </font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fmt sheetId="1" s="1" sqref="C4" start="0" length="0">
      <dxf>
        <font>
          <b/>
          <sz val="10"/>
          <color auto="1"/>
          <name val="Arial Cyr"/>
          <scheme val="none"/>
        </font>
        <numFmt numFmtId="4" formatCode="#,##0.00"/>
        <alignment horizontal="center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cc rId="0" sId="1" dxf="1">
      <nc r="C5">
        <f>C6+C9+C13+C16+C20+C23+C24+C25+C26+C27+C28+C29+C30+C31</f>
      </nc>
      <ndxf>
        <font>
          <b/>
          <sz val="12"/>
        </font>
        <numFmt numFmtId="167" formatCode="[&gt;=0.005]#,##0.0;[&lt;=-0.005]\-#,##0.0;#,##0.0"/>
        <alignment horizontal="right" vertical="center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6">
        <f>+C7+C8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7">
        <v>12098743.4</v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8">
        <v>20098845</v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9">
        <f>+C10</f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10">
        <v>6852354.4000000004</v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11">
        <v>1587506.1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2">
        <f>C10-C11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3">
        <f>+C14+C15</f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14">
        <v>4281193</v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15">
        <v>240015</v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6">
        <f>+C17+C18+C19</f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17">
        <v>3528564</v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18">
        <v>1164778.3</v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19">
        <v>672</v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20">
        <f>C21+C22</f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21">
        <v>2737023</v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22">
        <v>84808</v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23">
        <v>90607</v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24" start="0" length="0">
      <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4">
      <nc r="C25">
        <v>464001</v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26">
        <v>1236903</v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27">
        <v>196091</v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28">
        <v>167650</v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29">
        <v>7</v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30">
        <v>688042</v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31">
        <v>10000</v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">
        <f>C33+C41+C42+C43+C44+C45</f>
      </nc>
      <ndxf>
        <font>
          <b/>
          <sz val="12"/>
        </font>
        <numFmt numFmtId="167" formatCode="[&gt;=0.005]#,##0.0;[&lt;=-0.005]\-#,##0.0;#,##0.0"/>
        <alignment horizontal="right" vertical="center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">
        <f>C34+C38+C39+C40</f>
      </nc>
      <ndxf>
        <numFmt numFmtId="167" formatCode="[&gt;=0.005]#,##0.0;[&lt;=-0.005]\-#,##0.0;#,##0.0"/>
        <alignment horizontal="right" vertical="center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34">
        <v>8107311.9000000004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35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C36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C37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4">
      <nc r="C38">
        <v>13693225.4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39">
        <v>2460771.6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40">
        <v>945564.2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41">
        <v>0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42">
        <v>0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43">
        <v>0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44">
        <v>100000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45">
        <v>0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6">
        <f>C32+C5</f>
      </nc>
      <ndxf>
        <font>
          <b/>
          <sz val="12"/>
        </font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7" start="0" length="0">
      <dxf>
        <numFmt numFmtId="165" formatCode="#,##0.0"/>
        <alignment horizontal="right" vertical="center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cc rId="0" sId="1" s="1" dxf="1" numFmtId="4">
      <nc r="C48">
        <v>7695443.7000000002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 numFmtId="4">
      <nc r="C49">
        <v>30159.4</v>
      </nc>
      <ndxf>
        <font>
          <sz val="12"/>
          <color rgb="FF000000"/>
          <name val="Times New Roman"/>
          <scheme val="none"/>
        </font>
        <numFmt numFmtId="168" formatCode="[&gt;=0.005]#,##0.00;[Red][&lt;=-0.005]\-#,##0.00;#,##0.00"/>
        <alignment horizontal="right" vertical="center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 numFmtId="4">
      <nc r="C50">
        <v>1175648.1000000001</v>
      </nc>
      <ndxf>
        <font>
          <sz val="12"/>
          <color rgb="FF000000"/>
          <name val="Times New Roman"/>
          <scheme val="none"/>
        </font>
        <numFmt numFmtId="168" formatCode="[&gt;=0.005]#,##0.00;[Red][&lt;=-0.005]\-#,##0.00;#,##0.00"/>
        <alignment horizontal="right" vertical="center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 numFmtId="4">
      <nc r="C51">
        <v>15862650.800000001</v>
      </nc>
      <ndxf>
        <font>
          <sz val="12"/>
          <color rgb="FF000000"/>
          <name val="Times New Roman"/>
          <scheme val="none"/>
        </font>
        <numFmt numFmtId="168" formatCode="[&gt;=0.005]#,##0.00;[Red][&lt;=-0.005]\-#,##0.00;#,##0.00"/>
        <alignment horizontal="right" vertical="center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 numFmtId="4">
      <nc r="C52">
        <v>9255041.0999999996</v>
      </nc>
      <ndxf>
        <font>
          <sz val="12"/>
          <color rgb="FF000000"/>
          <name val="Times New Roman"/>
          <scheme val="none"/>
        </font>
        <numFmt numFmtId="168" formatCode="[&gt;=0.005]#,##0.00;[Red][&lt;=-0.005]\-#,##0.00;#,##0.00"/>
        <alignment horizontal="right" vertical="center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 numFmtId="4">
      <nc r="C53">
        <v>2193852.6</v>
      </nc>
      <ndxf>
        <font>
          <sz val="12"/>
          <color rgb="FF000000"/>
          <name val="Times New Roman"/>
          <scheme val="none"/>
        </font>
        <numFmt numFmtId="168" formatCode="[&gt;=0.005]#,##0.00;[Red][&lt;=-0.005]\-#,##0.00;#,##0.00"/>
        <alignment horizontal="right" vertical="center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 numFmtId="4">
      <nc r="C54">
        <v>81715.7</v>
      </nc>
      <ndxf>
        <font>
          <sz val="12"/>
          <color rgb="FF000000"/>
          <name val="Times New Roman"/>
          <scheme val="none"/>
        </font>
        <numFmt numFmtId="168" formatCode="[&gt;=0.005]#,##0.00;[Red][&lt;=-0.005]\-#,##0.00;#,##0.00"/>
        <alignment horizontal="right" vertical="center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 numFmtId="4">
      <nc r="C55">
        <v>18095301.5</v>
      </nc>
      <ndxf>
        <numFmt numFmtId="168" formatCode="[&gt;=0.005]#,##0.00;[Red][&lt;=-0.005]\-#,##0.00;#,##0.00"/>
        <alignment horizontal="right" vertical="center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 numFmtId="4">
      <nc r="C56">
        <v>2051441.6</v>
      </nc>
      <ndxf>
        <font>
          <sz val="12"/>
          <color rgb="FF000000"/>
          <name val="Times New Roman"/>
          <scheme val="none"/>
        </font>
        <numFmt numFmtId="168" formatCode="[&gt;=0.005]#,##0.00;[Red][&lt;=-0.005]\-#,##0.00;#,##0.00"/>
        <alignment horizontal="right" vertical="center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 numFmtId="4">
      <nc r="C57">
        <v>8771851</v>
      </nc>
      <ndxf>
        <font>
          <sz val="12"/>
          <color rgb="FF000000"/>
          <name val="Times New Roman"/>
          <scheme val="none"/>
        </font>
        <numFmt numFmtId="168" formatCode="[&gt;=0.005]#,##0.00;[Red][&lt;=-0.005]\-#,##0.00;#,##0.00"/>
        <alignment horizontal="right" vertical="center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 numFmtId="4">
      <nc r="C58">
        <v>19585189.899999999</v>
      </nc>
      <ndxf>
        <font>
          <sz val="12"/>
          <color rgb="FF000000"/>
          <name val="Times New Roman"/>
          <scheme val="none"/>
        </font>
        <numFmt numFmtId="168" formatCode="[&gt;=0.005]#,##0.00;[Red][&lt;=-0.005]\-#,##0.00;#,##0.00"/>
        <alignment horizontal="right" vertical="center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 numFmtId="4">
      <nc r="C59">
        <v>585342.1</v>
      </nc>
      <ndxf>
        <font>
          <sz val="12"/>
          <color rgb="FF000000"/>
          <name val="Times New Roman"/>
          <scheme val="none"/>
        </font>
        <numFmt numFmtId="168" formatCode="[&gt;=0.005]#,##0.00;[Red][&lt;=-0.005]\-#,##0.00;#,##0.00"/>
        <alignment horizontal="right" vertical="center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 numFmtId="4">
      <nc r="C60">
        <v>286091.09999999998</v>
      </nc>
      <ndxf>
        <font>
          <sz val="12"/>
          <color rgb="FF000000"/>
          <name val="Times New Roman"/>
          <scheme val="none"/>
        </font>
        <numFmt numFmtId="168" formatCode="[&gt;=0.005]#,##0.00;[Red][&lt;=-0.005]\-#,##0.00;#,##0.00"/>
        <alignment horizontal="right" vertical="center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 numFmtId="4">
      <nc r="C61">
        <v>2200000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s="1" dxf="1" numFmtId="4">
      <nc r="C62">
        <v>1672572.3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>
      <nc r="C63">
        <f>SUM(C48:C62)-C52-0.1</f>
      </nc>
      <ndxf>
        <font>
          <b/>
          <sz val="12"/>
        </font>
        <numFmt numFmtId="167" formatCode="[&gt;=0.005]#,##0.0;[&lt;=-0.005]\-#,##0.0;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4">
        <f>C46-C63</f>
      </nc>
      <ndxf>
        <font>
          <b/>
          <sz val="12"/>
        </font>
        <numFmt numFmtId="165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5">
        <f>C66+C67+C68+C69+C74</f>
      </nc>
      <ndxf>
        <font>
          <b/>
          <sz val="12"/>
        </font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66">
        <v>-10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67">
        <v>3960068.8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68">
        <v>-3614485.6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69">
        <f>C71+C72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70">
        <v>0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71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4">
      <nc r="C72">
        <v>694516.3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73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C74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5" start="0" length="0">
      <dxf>
        <font>
          <sz val="9"/>
        </font>
        <alignment horizontal="left" readingOrder="0"/>
      </dxf>
    </rfmt>
    <rfmt sheetId="1" sqref="C76" start="0" length="0">
      <dxf>
        <alignment horizontal="left" readingOrder="0"/>
      </dxf>
    </rfmt>
    <rfmt sheetId="1" sqref="C80" start="0" length="0">
      <dxf>
        <alignment horizontal="left" readingOrder="0"/>
      </dxf>
    </rfmt>
    <rfmt sheetId="1" sqref="C86" start="0" length="0">
      <dxf>
        <alignment horizontal="left" readingOrder="0"/>
      </dxf>
    </rfmt>
    <rfmt sheetId="1" sqref="C87" start="0" length="0">
      <dxf>
        <font>
          <sz val="12"/>
          <color indexed="9"/>
        </font>
      </dxf>
    </rfmt>
  </rrc>
  <rrc rId="937" sId="1" ref="C1:C1048576" action="deleteCol">
    <undo index="0" exp="area" ref3D="1" dr="$A$3:$XFD$3" dn="Z_BD55AB36_084D_4C26_BAB2_482C24A270C8_.wvu.PrintTitles" sId="1"/>
    <undo index="1" exp="area" ref3D="1" dr="$C$1:$D$1048576" dn="Z_BD55AB36_084D_4C26_BAB2_482C24A270C8_.wvu.Cols" sId="1"/>
    <undo index="1" exp="area" ref3D="1" dr="$C$1:$D$1048576" dn="Z_34D410AD_58B4_4435_9ED5_15CA72283006_.wvu.Cols" sId="1"/>
    <undo index="0" exp="area" ref3D="1" dr="$A$3:$XFD$3" dn="Z_34D410AD_58B4_4435_9ED5_15CA72283006_.wvu.PrintTitles" sId="1"/>
    <undo index="0" exp="area" ref3D="1" dr="$A$3:$XFD$3" dn="Z_0E91F95C_B82B_4A7A_9432_6E8B0967BE54_.wvu.PrintTitles" sId="1"/>
    <undo index="0" exp="area" ref3D="1" dr="$A$3:$XFD$3" dn="Заголовки_для_печати" sId="1"/>
    <rfmt sheetId="1" xfDxf="1" s="1" sqref="C1:C10485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2"/>
          <color auto="1"/>
          <name val="Times New Roman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C1" start="0" length="0">
      <dxf>
        <font>
          <b/>
          <sz val="12"/>
        </font>
        <alignment horizontal="center" vertical="center" wrapText="1" readingOrder="0"/>
      </dxf>
    </rfmt>
    <rcc rId="0" sId="1" dxf="1">
      <nc r="C3" t="inlineStr">
        <is>
          <t>план на 01.10.2025 (СБР)</t>
        </is>
      </nc>
      <ndxf>
        <font>
          <b/>
          <sz val="12"/>
        </font>
        <alignment horizontal="center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fmt sheetId="1" sqref="C4" start="0" length="0">
      <dxf>
        <font>
          <b/>
          <sz val="12"/>
        </font>
        <alignment horizontal="center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cc rId="0" sId="1" dxf="1">
      <nc r="C5">
        <f>C6+C9+C13+C16+C20+C23+C24+C25+C26+C27+C28+C29+C30+C31</f>
      </nc>
      <ndxf>
        <font>
          <b/>
          <sz val="12"/>
        </font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6">
        <f>+C7+C8</f>
      </nc>
      <n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7">
        <v>12098743.4</v>
      </nc>
      <ndxf>
        <numFmt numFmtId="167" formatCode="[&gt;=0.005]#,##0.0;[&lt;=-0.005]\-#,##0.0;#,##0.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8">
        <v>20098845</v>
      </nc>
      <ndxf>
        <numFmt numFmtId="167" formatCode="[&gt;=0.005]#,##0.0;[&lt;=-0.005]\-#,##0.0;#,##0.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9">
        <f>+C10</f>
      </nc>
      <ndxf>
        <numFmt numFmtId="167" formatCode="[&gt;=0.005]#,##0.0;[&lt;=-0.005]\-#,##0.0;#,##0.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10">
        <v>6852354.4000000004</v>
      </nc>
      <ndxf>
        <numFmt numFmtId="167" formatCode="[&gt;=0.005]#,##0.0;[&lt;=-0.005]\-#,##0.0;#,##0.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11">
        <v>1587506.1</v>
      </nc>
      <n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2">
        <f>C10-C11</f>
      </nc>
      <n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3">
        <f>+C14+C15</f>
      </nc>
      <ndxf>
        <numFmt numFmtId="167" formatCode="[&gt;=0.005]#,##0.0;[&lt;=-0.005]\-#,##0.0;#,##0.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14">
        <v>4281193</v>
      </nc>
      <ndxf>
        <numFmt numFmtId="167" formatCode="[&gt;=0.005]#,##0.0;[&lt;=-0.005]\-#,##0.0;#,##0.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15">
        <v>240015</v>
      </nc>
      <ndxf>
        <numFmt numFmtId="167" formatCode="[&gt;=0.005]#,##0.0;[&lt;=-0.005]\-#,##0.0;#,##0.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6">
        <f>+C17+C18+C19</f>
      </nc>
      <ndxf>
        <numFmt numFmtId="167" formatCode="[&gt;=0.005]#,##0.0;[&lt;=-0.005]\-#,##0.0;#,##0.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17">
        <v>3528564</v>
      </nc>
      <ndxf>
        <numFmt numFmtId="167" formatCode="[&gt;=0.005]#,##0.0;[&lt;=-0.005]\-#,##0.0;#,##0.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18">
        <v>1164778.3</v>
      </nc>
      <ndxf>
        <numFmt numFmtId="167" formatCode="[&gt;=0.005]#,##0.0;[&lt;=-0.005]\-#,##0.0;#,##0.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19">
        <v>672</v>
      </nc>
      <ndxf>
        <numFmt numFmtId="167" formatCode="[&gt;=0.005]#,##0.0;[&lt;=-0.005]\-#,##0.0;#,##0.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20">
        <f>C21+C22</f>
      </nc>
      <ndxf>
        <numFmt numFmtId="167" formatCode="[&gt;=0.005]#,##0.0;[&lt;=-0.005]\-#,##0.0;#,##0.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21">
        <v>2737023</v>
      </nc>
      <ndxf>
        <numFmt numFmtId="167" formatCode="[&gt;=0.005]#,##0.0;[&lt;=-0.005]\-#,##0.0;#,##0.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22">
        <v>84808</v>
      </nc>
      <ndxf>
        <numFmt numFmtId="167" formatCode="[&gt;=0.005]#,##0.0;[&lt;=-0.005]\-#,##0.0;#,##0.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23">
        <v>90607</v>
      </nc>
      <ndxf>
        <numFmt numFmtId="167" formatCode="[&gt;=0.005]#,##0.0;[&lt;=-0.005]\-#,##0.0;#,##0.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24" start="0" length="0">
      <dxf>
        <numFmt numFmtId="167" formatCode="[&gt;=0.005]#,##0.0;[&lt;=-0.005]\-#,##0.0;#,##0.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4">
      <nc r="C25">
        <v>464001</v>
      </nc>
      <ndxf>
        <numFmt numFmtId="167" formatCode="[&gt;=0.005]#,##0.0;[&lt;=-0.005]\-#,##0.0;#,##0.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26">
        <v>1236903</v>
      </nc>
      <ndxf>
        <numFmt numFmtId="167" formatCode="[&gt;=0.005]#,##0.0;[&lt;=-0.005]\-#,##0.0;#,##0.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27">
        <v>196091</v>
      </nc>
      <ndxf>
        <numFmt numFmtId="167" formatCode="[&gt;=0.005]#,##0.0;[&lt;=-0.005]\-#,##0.0;#,##0.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28">
        <v>167650</v>
      </nc>
      <ndxf>
        <numFmt numFmtId="167" formatCode="[&gt;=0.005]#,##0.0;[&lt;=-0.005]\-#,##0.0;#,##0.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29">
        <v>7</v>
      </nc>
      <ndxf>
        <numFmt numFmtId="167" formatCode="[&gt;=0.005]#,##0.0;[&lt;=-0.005]\-#,##0.0;#,##0.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30">
        <v>688042</v>
      </nc>
      <ndxf>
        <numFmt numFmtId="167" formatCode="[&gt;=0.005]#,##0.0;[&lt;=-0.005]\-#,##0.0;#,##0.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31">
        <v>10000</v>
      </nc>
      <ndxf>
        <numFmt numFmtId="167" formatCode="[&gt;=0.005]#,##0.0;[&lt;=-0.005]\-#,##0.0;#,##0.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">
        <f>C33+C41+C42+C43+C44+C45-0.1</f>
      </nc>
      <ndxf>
        <font>
          <b/>
          <sz val="12"/>
        </font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">
        <f>C34+C38+C39+C40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34">
        <v>8250677.7999999998</v>
      </nc>
      <n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35">
        <v>7163796.9000000004</v>
      </nc>
      <n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36">
        <v>943515</v>
      </nc>
      <n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37">
        <v>143365.9</v>
      </nc>
      <n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38">
        <v>11357111.5</v>
      </nc>
      <n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39">
        <v>2779819.9</v>
      </nc>
      <n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40">
        <v>1216531.8</v>
      </nc>
      <n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41">
        <v>5254776.2</v>
      </nc>
      <n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42">
        <v>4975.8</v>
      </nc>
      <n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43">
        <v>2041.4</v>
      </nc>
      <n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44">
        <v>100000</v>
      </nc>
      <n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45">
        <v>0</v>
      </nc>
      <n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6">
        <f>C32+C5</f>
      </nc>
      <ndxf>
        <font>
          <b/>
          <sz val="12"/>
        </font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7" start="0" length="0">
      <dxf>
        <numFmt numFmtId="165" formatCode="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4">
      <nc r="C48">
        <v>4857330.0999999996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49">
        <v>30159.4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50">
        <v>1207107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51">
        <v>15724709.199999999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52">
        <v>9255041.0999999996</v>
      </nc>
      <n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53">
        <v>7935220.2999999998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54">
        <v>88453.7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55">
        <v>19277090.699999999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56">
        <v>2354659.9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57">
        <v>7183649.9000000004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58">
        <v>20210227.899999999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59">
        <v>885212.8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60">
        <v>291592.59999999998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61">
        <v>2200000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62">
        <v>1713709.1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3">
        <f>C48+C49+C50+C51+C53+C54+C55+C56+C57+C58+C59+C60+C61+C62</f>
      </nc>
      <ndxf>
        <font>
          <b/>
          <sz val="12"/>
        </font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4">
        <f>C46-C63</f>
      </nc>
      <ndxf>
        <font>
          <b/>
          <sz val="12"/>
        </font>
        <numFmt numFmtId="165" formatCode="#,##0.0"/>
        <fill>
          <patternFill patternType="solid">
            <bgColor theme="0"/>
          </patternFill>
        </fill>
        <alignment horizontal="righ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5">
        <f>C66+C67+C68+C69+C74</f>
      </nc>
      <ndxf>
        <font>
          <b/>
          <sz val="12"/>
        </font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66">
        <v>-10</v>
      </nc>
      <n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67">
        <v>-6439931.2000000002</v>
      </nc>
      <n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68">
        <v>6785514.4000000004</v>
      </nc>
      <n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69">
        <f>C71+C72</f>
      </nc>
      <n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70">
        <v>0</v>
      </nc>
      <n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71" start="0" length="0">
      <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4">
      <nc r="C72">
        <v>694516.3</v>
      </nc>
      <n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73" start="0" length="0">
      <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4">
      <nc r="C74">
        <v>12801.7</v>
      </nc>
      <ndxf>
        <numFmt numFmtId="167" formatCode="[&gt;=0.005]#,##0.0;[&lt;=-0.005]\-#,##0.0;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75" start="0" length="0">
      <dxf>
        <font>
          <sz val="9"/>
        </font>
        <alignment horizontal="left" vertical="top" wrapText="1" readingOrder="0"/>
      </dxf>
    </rfmt>
  </rrc>
  <rrc rId="938" sId="1" ref="C1:C1048576" action="deleteCol">
    <undo index="0" exp="area" ref3D="1" dr="$A$3:$XFD$3" dn="Z_BD55AB36_084D_4C26_BAB2_482C24A270C8_.wvu.PrintTitles" sId="1"/>
    <undo index="1" exp="area" ref3D="1" dr="$C$1:$C$1048576" dn="Z_BD55AB36_084D_4C26_BAB2_482C24A270C8_.wvu.Cols" sId="1"/>
    <undo index="1" exp="area" ref3D="1" dr="$C$1:$C$1048576" dn="Z_34D410AD_58B4_4435_9ED5_15CA72283006_.wvu.Cols" sId="1"/>
    <undo index="0" exp="area" ref3D="1" dr="$A$3:$XFD$3" dn="Z_34D410AD_58B4_4435_9ED5_15CA72283006_.wvu.PrintTitles" sId="1"/>
    <undo index="0" exp="area" ref3D="1" dr="$A$3:$XFD$3" dn="Z_0E91F95C_B82B_4A7A_9432_6E8B0967BE54_.wvu.PrintTitles" sId="1"/>
    <undo index="0" exp="area" ref3D="1" dr="$A$1:$C$74" dn="Z_0E91F95C_B82B_4A7A_9432_6E8B0967BE54_.wvu.PrintArea" sId="1"/>
    <undo index="0" exp="area" ref3D="1" dr="$A$3:$XFD$3" dn="Заголовки_для_печати" sId="1"/>
    <rfmt sheetId="1" xfDxf="1" s="1" sqref="C1:C10485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2"/>
          <color auto="1"/>
          <name val="Times New Roman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1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C1" start="0" length="0">
      <dxf>
        <font>
          <b/>
          <sz val="12"/>
        </font>
        <alignment horizontal="center" vertical="center" readingOrder="0"/>
      </dxf>
    </rfmt>
    <rcc rId="0" sId="1" dxf="1">
      <nc r="C2" t="inlineStr">
        <is>
          <t>(тыс.рублей)</t>
        </is>
      </nc>
      <ndxf>
        <alignment horizontal="right" wrapText="0" readingOrder="0"/>
      </ndxf>
    </rcc>
    <rcc rId="0" sId="1" dxf="1">
      <nc r="C3" t="inlineStr">
        <is>
          <t xml:space="preserve">Ожидаемое исполнение 
в 2025 году </t>
        </is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" start="0" length="0">
      <dxf>
        <font>
          <b/>
          <sz val="12"/>
        </font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5">
        <f>C6+C9+C13+C16+C20+C23+C24+C25+C26+C27+C28+C29+C30+C31</f>
      </nc>
      <ndxf>
        <font>
          <b/>
          <sz val="12"/>
        </font>
        <numFmt numFmtId="167" formatCode="[&gt;=0.005]#,##0.0;[&lt;=-0.005]\-#,##0.0;#,##0.0"/>
        <alignment horizontal="right" vertical="center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6">
        <f>+C7+C8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7">
        <v>11583169.300000001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8">
        <v>20104272.699999999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9">
        <f>+C10</f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10">
        <v>7018309.9000000004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11">
        <v>1611282.6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2">
        <f>C10-C11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3">
        <f>+C14+C15</f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14">
        <v>4281193.2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5">
        <f>265000+2433+0.1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6">
        <f>+C17+C18+C19</f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17">
        <v>3528564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18">
        <v>1164778.3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19">
        <v>672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20">
        <f>C21+C22</f>
      </nc>
      <ndxf>
        <numFmt numFmtId="167" formatCode="[&gt;=0.005]#,##0.0;[&lt;=-0.005]\-#,##0.0;#,##0.0"/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21">
        <v>2737074.3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22">
        <v>84808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23">
        <v>102274.9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24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4">
      <nc r="C25">
        <v>467163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26">
        <v>1353185.1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27">
        <v>203813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28">
        <v>168050.2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29">
        <v>7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30">
        <v>865528.8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31">
        <v>10000.299999999999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">
        <f>C33+C41+C42+C43+C44+C45-0.1</f>
      </nc>
      <ndxf>
        <font>
          <b/>
          <sz val="12"/>
        </font>
        <numFmt numFmtId="167" formatCode="[&gt;=0.005]#,##0.0;[&lt;=-0.005]\-#,##0.0;#,##0.0"/>
        <alignment horizontal="right" vertical="center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">
        <f>C34+C38+C39+C40</f>
      </nc>
      <ndxf>
        <numFmt numFmtId="167" formatCode="[&gt;=0.005]#,##0.0;[&lt;=-0.005]\-#,##0.0;#,##0.0"/>
        <alignment horizontal="right" vertical="center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34">
        <v>8250677.7999999998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35">
        <v>7163796.9000000004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36">
        <v>943515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37">
        <v>143365.9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38">
        <v>11357111.5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39">
        <v>2779819.9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40">
        <v>1216531.8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41">
        <v>5254776.2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42">
        <v>4975.8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43">
        <f>B43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44">
        <f>B44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45">
        <f>B45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6">
        <f>C32+C5</f>
      </nc>
      <ndxf>
        <font>
          <b/>
          <sz val="12"/>
        </font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7" start="0" length="0">
      <dxf>
        <numFmt numFmtId="165" formatCode="#,##0.0"/>
        <alignment horizontal="right" vertical="center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4">
      <nc r="C48">
        <v>4857330.0999999996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49">
        <v>30159.4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50">
        <v>1207107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51">
        <f>15724709.2+200000</f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52">
        <f>9255041.1+200000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53">
        <v>7935220.2999999998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54">
        <v>88453.7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55">
        <v>19277090.699999999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56">
        <v>2354659.9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57">
        <v>7183649.9000000004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58">
        <v>20210227.899999999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59">
        <v>885212.8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60">
        <v>291592.59999999998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61">
        <v>900000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62">
        <v>1713709.1</v>
      </nc>
      <ndxf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3">
        <f>C48+C49+C50+C51+C53+C54+C55+C56+C57+C58+C59+C60+C61+C62</f>
      </nc>
      <ndxf>
        <font>
          <b/>
          <sz val="12"/>
        </font>
        <numFmt numFmtId="167" formatCode="[&gt;=0.005]#,##0.0;[&lt;=-0.005]\-#,##0.0;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4">
        <f>C46-C63</f>
      </nc>
      <ndxf>
        <font>
          <b/>
          <sz val="12"/>
        </font>
        <numFmt numFmtId="165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5">
        <f>C66+C67+C68+C69+C74</f>
      </nc>
      <ndxf>
        <font>
          <b/>
          <sz val="12"/>
        </font>
        <numFmt numFmtId="167" formatCode="[&gt;=0.005]#,##0.0;[&lt;=-0.005]\-#,##0.0;#,##0.0"/>
        <fill>
          <patternFill patternType="solid">
            <bgColor theme="0"/>
          </patternFill>
        </fill>
        <alignment horizontal="right" vertical="center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66">
        <v>-10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67">
        <v>3960068.8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68">
        <f>-3614485.6+2728540.8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69">
        <f>C71+C72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C70">
        <v>0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71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4">
      <nc r="C72">
        <v>694516.3</v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73" start="0" length="0">
      <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C74">
        <f>12801.7</f>
      </nc>
      <ndxf>
        <numFmt numFmtId="167" formatCode="[&gt;=0.005]#,##0.0;[&lt;=-0.005]\-#,##0.0;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75" start="0" length="0">
      <dxf>
        <font>
          <sz val="9"/>
        </font>
        <alignment horizontal="left" readingOrder="0"/>
      </dxf>
    </rfmt>
    <rfmt sheetId="1" sqref="C76" start="0" length="0">
      <dxf>
        <alignment horizontal="left" readingOrder="0"/>
      </dxf>
    </rfmt>
    <rfmt sheetId="1" sqref="C80" start="0" length="0">
      <dxf>
        <alignment horizontal="left" readingOrder="0"/>
      </dxf>
    </rfmt>
    <rfmt sheetId="1" sqref="C86" start="0" length="0">
      <dxf>
        <alignment horizontal="left" readingOrder="0"/>
      </dxf>
    </rfmt>
    <rfmt sheetId="1" sqref="C87" start="0" length="0">
      <dxf>
        <font>
          <sz val="12"/>
          <color indexed="9"/>
        </font>
      </dxf>
    </rfmt>
  </rrc>
  <rdn rId="0" localSheetId="1" customView="1" name="Z_BD55AB36_084D_4C26_BAB2_482C24A270C8_.wvu.Cols" hidden="1" oldHidden="1">
    <oldFormula>'ожид.оценка 2024'!#REF!,'ожид.оценка 2024'!#REF!</oldFormula>
  </rdn>
  <rcv guid="{BD55AB36-084D-4C26-BAB2-482C24A270C8}" action="delete"/>
  <rdn rId="0" localSheetId="1" customView="1" name="Z_BD55AB36_084D_4C26_BAB2_482C24A270C8_.wvu.PrintArea" hidden="1" oldHidden="1">
    <formula>'ожид.оценка 2024'!$A$1:$C$75</formula>
    <oldFormula>'ожид.оценка 2024'!$A$1:$C$75</oldFormula>
  </rdn>
  <rdn rId="0" localSheetId="1" customView="1" name="Z_BD55AB36_084D_4C26_BAB2_482C24A270C8_.wvu.PrintTitles" hidden="1" oldHidden="1">
    <formula>'ожид.оценка 2024'!$3:$3</formula>
    <oldFormula>'ожид.оценка 2024'!$3:$3</oldFormula>
  </rdn>
  <rdn rId="0" localSheetId="2" customView="1" name="Z_BD55AB36_084D_4C26_BAB2_482C24A270C8_.wvu.PrintArea" hidden="1" oldHidden="1">
    <formula>'по отчету отправка'!$A$1:$C$75</formula>
    <oldFormula>'по отчету отправка'!$A$1:$C$75</oldFormula>
  </rdn>
  <rdn rId="0" localSheetId="2" customView="1" name="Z_BD55AB36_084D_4C26_BAB2_482C24A270C8_.wvu.PrintTitles" hidden="1" oldHidden="1">
    <formula>'по отчету отправка'!$3:$3</formula>
    <oldFormula>'по отчету отправка'!$3:$3</oldFormula>
  </rdn>
  <rdn rId="0" localSheetId="2" customView="1" name="Z_BD55AB36_084D_4C26_BAB2_482C24A270C8_.wvu.Rows" hidden="1" oldHidden="1">
    <formula>'по отчету отправка'!$41:$42</formula>
    <oldFormula>'по отчету отправка'!$41:$42</oldFormula>
  </rdn>
  <rdn rId="0" localSheetId="3" customView="1" name="Z_BD55AB36_084D_4C26_BAB2_482C24A270C8_.wvu.PrintArea" hidden="1" oldHidden="1">
    <formula>'по отчету руб'!$A$1:$C$74</formula>
    <oldFormula>'по отчету руб'!$A$1:$C$74</oldFormula>
  </rdn>
  <rdn rId="0" localSheetId="3" customView="1" name="Z_BD55AB36_084D_4C26_BAB2_482C24A270C8_.wvu.PrintTitles" hidden="1" oldHidden="1">
    <formula>'по отчету руб'!$3:$3</formula>
    <oldFormula>'по отчету руб'!$3:$3</oldFormula>
  </rdn>
  <rdn rId="0" localSheetId="3" customView="1" name="Z_BD55AB36_084D_4C26_BAB2_482C24A270C8_.wvu.Rows" hidden="1" oldHidden="1">
    <formula>'по отчету руб'!$13:$13,'по отчету руб'!$16:$16,'по отчету руб'!$40:$41,'по отчету руб'!$44:$44,'по отчету руб'!$71:$71</formula>
    <oldFormula>'по отчету руб'!$13:$13,'по отчету руб'!$16:$16,'по отчету руб'!$40:$41,'по отчету руб'!$44:$44,'по отчету руб'!$71:$71</oldFormula>
  </rdn>
  <rdn rId="0" localSheetId="4" customView="1" name="Z_BD55AB36_084D_4C26_BAB2_482C24A270C8_.wvu.PrintArea" hidden="1" oldHidden="1">
    <formula>'по отчету (3)'!$A$1:$C$74</formula>
    <oldFormula>'по отчету (3)'!$A$1:$C$74</oldFormula>
  </rdn>
  <rdn rId="0" localSheetId="4" customView="1" name="Z_BD55AB36_084D_4C26_BAB2_482C24A270C8_.wvu.PrintTitles" hidden="1" oldHidden="1">
    <formula>'по отчету (3)'!$3:$3</formula>
    <oldFormula>'по отчету (3)'!$3:$3</oldFormula>
  </rdn>
  <rdn rId="0" localSheetId="4" customView="1" name="Z_BD55AB36_084D_4C26_BAB2_482C24A270C8_.wvu.Rows" hidden="1" oldHidden="1">
    <formula>'по отчету (3)'!$13:$13,'по отчету (3)'!$16:$16,'по отчету (3)'!$40:$41,'по отчету (3)'!$44:$44,'по отчету (3)'!$71:$71</formula>
    <oldFormula>'по отчету (3)'!$13:$13,'по отчету (3)'!$16:$16,'по отчету (3)'!$40:$41,'по отчету (3)'!$44:$44,'по отчету (3)'!$71:$71</oldFormula>
  </rdn>
  <rdn rId="0" localSheetId="5" customView="1" name="Z_BD55AB36_084D_4C26_BAB2_482C24A270C8_.wvu.PrintArea" hidden="1" oldHidden="1">
    <formula>'план по отчету'!$A$1:$D$78</formula>
    <oldFormula>'план по отчету'!$A$1:$D$78</oldFormula>
  </rdn>
  <rdn rId="0" localSheetId="5" customView="1" name="Z_BD55AB36_084D_4C26_BAB2_482C24A270C8_.wvu.PrintTitles" hidden="1" oldHidden="1">
    <formula>'план по отчету'!$3:$3</formula>
    <oldFormula>'план по отчету'!$3:$3</oldFormula>
  </rdn>
  <rdn rId="0" localSheetId="5" customView="1" name="Z_BD55AB36_084D_4C26_BAB2_482C24A270C8_.wvu.Rows" hidden="1" oldHidden="1">
    <formula>'план по отчету'!$13:$13,'план по отчету'!$16:$16,'план по отчету'!$44:$45,'план по отчету'!$48:$48,'план по отчету'!$75:$75</formula>
    <oldFormula>'план по отчету'!$13:$13,'план по отчету'!$16:$16,'план по отчету'!$44:$45,'план по отчету'!$48:$48,'план по отчету'!$75:$75</oldFormula>
  </rdn>
  <rdn rId="0" localSheetId="6" customView="1" name="Z_BD55AB36_084D_4C26_BAB2_482C24A270C8_.wvu.PrintArea" hidden="1" oldHidden="1">
    <formula>'на отправку'!$A$1:$C$78</formula>
    <oldFormula>'на отправку'!$A$1:$C$78</oldFormula>
  </rdn>
  <rdn rId="0" localSheetId="6" customView="1" name="Z_BD55AB36_084D_4C26_BAB2_482C24A270C8_.wvu.PrintTitles" hidden="1" oldHidden="1">
    <formula>'на отправку'!$3:$3</formula>
    <oldFormula>'на отправку'!$3:$3</oldFormula>
  </rdn>
  <rdn rId="0" localSheetId="6" customView="1" name="Z_BD55AB36_084D_4C26_BAB2_482C24A270C8_.wvu.Rows" hidden="1" oldHidden="1">
    <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formula>
    <old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oldFormula>
  </rdn>
  <rdn rId="0" localSheetId="7" customView="1" name="Z_BD55AB36_084D_4C26_BAB2_482C24A270C8_.wvu.PrintArea" hidden="1" oldHidden="1">
    <formula>'по отчету'!$A$1:$C$78</formula>
    <oldFormula>'по отчету'!$A$1:$C$78</oldFormula>
  </rdn>
  <rdn rId="0" localSheetId="7" customView="1" name="Z_BD55AB36_084D_4C26_BAB2_482C24A270C8_.wvu.PrintTitles" hidden="1" oldHidden="1">
    <formula>'по отчету'!$3:$3</formula>
    <oldFormula>'по отчету'!$3:$3</oldFormula>
  </rdn>
  <rdn rId="0" localSheetId="7" customView="1" name="Z_BD55AB36_084D_4C26_BAB2_482C24A270C8_.wvu.Rows" hidden="1" oldHidden="1">
    <formula>'по отчету'!$13:$13,'по отчету'!$16:$16,'по отчету'!$44:$45,'по отчету'!$48:$48,'по отчету'!$75:$75</formula>
    <oldFormula>'по отчету'!$13:$13,'по отчету'!$16:$16,'по отчету'!$44:$45,'по отчету'!$48:$48,'по отчету'!$75:$75</oldFormula>
  </rdn>
  <rcv guid="{BD55AB36-084D-4C26-BAB2-482C24A270C8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55AB36-084D-4C26-BAB2-482C24A270C8}" action="delete"/>
  <rdn rId="0" localSheetId="1" customView="1" name="Z_BD55AB36_084D_4C26_BAB2_482C24A270C8_.wvu.PrintArea" hidden="1" oldHidden="1">
    <formula>'ожид.оценка 2025'!$A$1:$C$75</formula>
    <oldFormula>'ожид.оценка 2025'!$A$1:$C$75</oldFormula>
  </rdn>
  <rdn rId="0" localSheetId="1" customView="1" name="Z_BD55AB36_084D_4C26_BAB2_482C24A270C8_.wvu.PrintTitles" hidden="1" oldHidden="1">
    <formula>'ожид.оценка 2025'!$3:$3</formula>
    <oldFormula>'ожид.оценка 2025'!$3:$3</oldFormula>
  </rdn>
  <rdn rId="0" localSheetId="2" customView="1" name="Z_BD55AB36_084D_4C26_BAB2_482C24A270C8_.wvu.PrintArea" hidden="1" oldHidden="1">
    <formula>'по отчету отправка'!$A$1:$C$75</formula>
    <oldFormula>'по отчету отправка'!$A$1:$C$75</oldFormula>
  </rdn>
  <rdn rId="0" localSheetId="2" customView="1" name="Z_BD55AB36_084D_4C26_BAB2_482C24A270C8_.wvu.PrintTitles" hidden="1" oldHidden="1">
    <formula>'по отчету отправка'!$3:$3</formula>
    <oldFormula>'по отчету отправка'!$3:$3</oldFormula>
  </rdn>
  <rdn rId="0" localSheetId="2" customView="1" name="Z_BD55AB36_084D_4C26_BAB2_482C24A270C8_.wvu.Rows" hidden="1" oldHidden="1">
    <formula>'по отчету отправка'!$41:$42</formula>
    <oldFormula>'по отчету отправка'!$41:$42</oldFormula>
  </rdn>
  <rdn rId="0" localSheetId="3" customView="1" name="Z_BD55AB36_084D_4C26_BAB2_482C24A270C8_.wvu.PrintArea" hidden="1" oldHidden="1">
    <formula>'по отчету руб'!$A$1:$C$74</formula>
    <oldFormula>'по отчету руб'!$A$1:$C$74</oldFormula>
  </rdn>
  <rdn rId="0" localSheetId="3" customView="1" name="Z_BD55AB36_084D_4C26_BAB2_482C24A270C8_.wvu.PrintTitles" hidden="1" oldHidden="1">
    <formula>'по отчету руб'!$3:$3</formula>
    <oldFormula>'по отчету руб'!$3:$3</oldFormula>
  </rdn>
  <rdn rId="0" localSheetId="3" customView="1" name="Z_BD55AB36_084D_4C26_BAB2_482C24A270C8_.wvu.Rows" hidden="1" oldHidden="1">
    <formula>'по отчету руб'!$13:$13,'по отчету руб'!$16:$16,'по отчету руб'!$40:$41,'по отчету руб'!$44:$44,'по отчету руб'!$71:$71</formula>
    <oldFormula>'по отчету руб'!$13:$13,'по отчету руб'!$16:$16,'по отчету руб'!$40:$41,'по отчету руб'!$44:$44,'по отчету руб'!$71:$71</oldFormula>
  </rdn>
  <rdn rId="0" localSheetId="4" customView="1" name="Z_BD55AB36_084D_4C26_BAB2_482C24A270C8_.wvu.PrintArea" hidden="1" oldHidden="1">
    <formula>'по отчету (3)'!$A$1:$C$74</formula>
    <oldFormula>'по отчету (3)'!$A$1:$C$74</oldFormula>
  </rdn>
  <rdn rId="0" localSheetId="4" customView="1" name="Z_BD55AB36_084D_4C26_BAB2_482C24A270C8_.wvu.PrintTitles" hidden="1" oldHidden="1">
    <formula>'по отчету (3)'!$3:$3</formula>
    <oldFormula>'по отчету (3)'!$3:$3</oldFormula>
  </rdn>
  <rdn rId="0" localSheetId="4" customView="1" name="Z_BD55AB36_084D_4C26_BAB2_482C24A270C8_.wvu.Rows" hidden="1" oldHidden="1">
    <formula>'по отчету (3)'!$13:$13,'по отчету (3)'!$16:$16,'по отчету (3)'!$40:$41,'по отчету (3)'!$44:$44,'по отчету (3)'!$71:$71</formula>
    <oldFormula>'по отчету (3)'!$13:$13,'по отчету (3)'!$16:$16,'по отчету (3)'!$40:$41,'по отчету (3)'!$44:$44,'по отчету (3)'!$71:$71</oldFormula>
  </rdn>
  <rdn rId="0" localSheetId="5" customView="1" name="Z_BD55AB36_084D_4C26_BAB2_482C24A270C8_.wvu.PrintArea" hidden="1" oldHidden="1">
    <formula>'план по отчету'!$A$1:$D$78</formula>
    <oldFormula>'план по отчету'!$A$1:$D$78</oldFormula>
  </rdn>
  <rdn rId="0" localSheetId="5" customView="1" name="Z_BD55AB36_084D_4C26_BAB2_482C24A270C8_.wvu.PrintTitles" hidden="1" oldHidden="1">
    <formula>'план по отчету'!$3:$3</formula>
    <oldFormula>'план по отчету'!$3:$3</oldFormula>
  </rdn>
  <rdn rId="0" localSheetId="5" customView="1" name="Z_BD55AB36_084D_4C26_BAB2_482C24A270C8_.wvu.Rows" hidden="1" oldHidden="1">
    <formula>'план по отчету'!$13:$13,'план по отчету'!$16:$16,'план по отчету'!$44:$45,'план по отчету'!$48:$48,'план по отчету'!$75:$75</formula>
    <oldFormula>'план по отчету'!$13:$13,'план по отчету'!$16:$16,'план по отчету'!$44:$45,'план по отчету'!$48:$48,'план по отчету'!$75:$75</oldFormula>
  </rdn>
  <rdn rId="0" localSheetId="6" customView="1" name="Z_BD55AB36_084D_4C26_BAB2_482C24A270C8_.wvu.PrintArea" hidden="1" oldHidden="1">
    <formula>'на отправку'!$A$1:$C$78</formula>
    <oldFormula>'на отправку'!$A$1:$C$78</oldFormula>
  </rdn>
  <rdn rId="0" localSheetId="6" customView="1" name="Z_BD55AB36_084D_4C26_BAB2_482C24A270C8_.wvu.PrintTitles" hidden="1" oldHidden="1">
    <formula>'на отправку'!$3:$3</formula>
    <oldFormula>'на отправку'!$3:$3</oldFormula>
  </rdn>
  <rdn rId="0" localSheetId="6" customView="1" name="Z_BD55AB36_084D_4C26_BAB2_482C24A270C8_.wvu.Rows" hidden="1" oldHidden="1">
    <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formula>
    <old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oldFormula>
  </rdn>
  <rdn rId="0" localSheetId="7" customView="1" name="Z_BD55AB36_084D_4C26_BAB2_482C24A270C8_.wvu.PrintArea" hidden="1" oldHidden="1">
    <formula>'по отчету'!$A$1:$C$78</formula>
    <oldFormula>'по отчету'!$A$1:$C$78</oldFormula>
  </rdn>
  <rdn rId="0" localSheetId="7" customView="1" name="Z_BD55AB36_084D_4C26_BAB2_482C24A270C8_.wvu.PrintTitles" hidden="1" oldHidden="1">
    <formula>'по отчету'!$3:$3</formula>
    <oldFormula>'по отчету'!$3:$3</oldFormula>
  </rdn>
  <rdn rId="0" localSheetId="7" customView="1" name="Z_BD55AB36_084D_4C26_BAB2_482C24A270C8_.wvu.Rows" hidden="1" oldHidden="1">
    <formula>'по отчету'!$13:$13,'по отчету'!$16:$16,'по отчету'!$44:$45,'по отчету'!$48:$48,'по отчету'!$75:$75</formula>
    <oldFormula>'по отчету'!$13:$13,'по отчету'!$16:$16,'по отчету'!$44:$45,'по отчету'!$48:$48,'по отчету'!$75:$75</oldFormula>
  </rdn>
  <rcv guid="{BD55AB36-084D-4C26-BAB2-482C24A270C8}" action="add"/>
  <rsnm rId="980" sheetId="1" oldName="[Оценка исполнения 2025 уточн.xlsx]ожид.оценка 2024" newName="[Оценка исполнения 2025 уточн.xlsx]ожид.оценка 2025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55AB36-084D-4C26-BAB2-482C24A270C8}" action="delete"/>
  <rdn rId="0" localSheetId="1" customView="1" name="Z_BD55AB36_084D_4C26_BAB2_482C24A270C8_.wvu.PrintArea" hidden="1" oldHidden="1">
    <formula>'ожид.оценка 2025'!$A$1:$C$74</formula>
    <oldFormula>'ожид.оценка 2025'!$A$1:$C$75</oldFormula>
  </rdn>
  <rdn rId="0" localSheetId="1" customView="1" name="Z_BD55AB36_084D_4C26_BAB2_482C24A270C8_.wvu.PrintTitles" hidden="1" oldHidden="1">
    <formula>'ожид.оценка 2025'!$3:$3</formula>
    <oldFormula>'ожид.оценка 2025'!$3:$3</oldFormula>
  </rdn>
  <rdn rId="0" localSheetId="2" customView="1" name="Z_BD55AB36_084D_4C26_BAB2_482C24A270C8_.wvu.PrintArea" hidden="1" oldHidden="1">
    <formula>'по отчету отправка'!$A$1:$C$75</formula>
    <oldFormula>'по отчету отправка'!$A$1:$C$75</oldFormula>
  </rdn>
  <rdn rId="0" localSheetId="2" customView="1" name="Z_BD55AB36_084D_4C26_BAB2_482C24A270C8_.wvu.PrintTitles" hidden="1" oldHidden="1">
    <formula>'по отчету отправка'!$3:$3</formula>
    <oldFormula>'по отчету отправка'!$3:$3</oldFormula>
  </rdn>
  <rdn rId="0" localSheetId="2" customView="1" name="Z_BD55AB36_084D_4C26_BAB2_482C24A270C8_.wvu.Rows" hidden="1" oldHidden="1">
    <formula>'по отчету отправка'!$41:$42</formula>
    <oldFormula>'по отчету отправка'!$41:$42</oldFormula>
  </rdn>
  <rdn rId="0" localSheetId="3" customView="1" name="Z_BD55AB36_084D_4C26_BAB2_482C24A270C8_.wvu.PrintArea" hidden="1" oldHidden="1">
    <formula>'по отчету руб'!$A$1:$C$74</formula>
    <oldFormula>'по отчету руб'!$A$1:$C$74</oldFormula>
  </rdn>
  <rdn rId="0" localSheetId="3" customView="1" name="Z_BD55AB36_084D_4C26_BAB2_482C24A270C8_.wvu.PrintTitles" hidden="1" oldHidden="1">
    <formula>'по отчету руб'!$3:$3</formula>
    <oldFormula>'по отчету руб'!$3:$3</oldFormula>
  </rdn>
  <rdn rId="0" localSheetId="3" customView="1" name="Z_BD55AB36_084D_4C26_BAB2_482C24A270C8_.wvu.Rows" hidden="1" oldHidden="1">
    <formula>'по отчету руб'!$13:$13,'по отчету руб'!$16:$16,'по отчету руб'!$40:$41,'по отчету руб'!$44:$44,'по отчету руб'!$71:$71</formula>
    <oldFormula>'по отчету руб'!$13:$13,'по отчету руб'!$16:$16,'по отчету руб'!$40:$41,'по отчету руб'!$44:$44,'по отчету руб'!$71:$71</oldFormula>
  </rdn>
  <rdn rId="0" localSheetId="4" customView="1" name="Z_BD55AB36_084D_4C26_BAB2_482C24A270C8_.wvu.PrintArea" hidden="1" oldHidden="1">
    <formula>'по отчету (3)'!$A$1:$C$74</formula>
    <oldFormula>'по отчету (3)'!$A$1:$C$74</oldFormula>
  </rdn>
  <rdn rId="0" localSheetId="4" customView="1" name="Z_BD55AB36_084D_4C26_BAB2_482C24A270C8_.wvu.PrintTitles" hidden="1" oldHidden="1">
    <formula>'по отчету (3)'!$3:$3</formula>
    <oldFormula>'по отчету (3)'!$3:$3</oldFormula>
  </rdn>
  <rdn rId="0" localSheetId="4" customView="1" name="Z_BD55AB36_084D_4C26_BAB2_482C24A270C8_.wvu.Rows" hidden="1" oldHidden="1">
    <formula>'по отчету (3)'!$13:$13,'по отчету (3)'!$16:$16,'по отчету (3)'!$40:$41,'по отчету (3)'!$44:$44,'по отчету (3)'!$71:$71</formula>
    <oldFormula>'по отчету (3)'!$13:$13,'по отчету (3)'!$16:$16,'по отчету (3)'!$40:$41,'по отчету (3)'!$44:$44,'по отчету (3)'!$71:$71</oldFormula>
  </rdn>
  <rdn rId="0" localSheetId="5" customView="1" name="Z_BD55AB36_084D_4C26_BAB2_482C24A270C8_.wvu.PrintArea" hidden="1" oldHidden="1">
    <formula>'план по отчету'!$A$1:$D$78</formula>
    <oldFormula>'план по отчету'!$A$1:$D$78</oldFormula>
  </rdn>
  <rdn rId="0" localSheetId="5" customView="1" name="Z_BD55AB36_084D_4C26_BAB2_482C24A270C8_.wvu.PrintTitles" hidden="1" oldHidden="1">
    <formula>'план по отчету'!$3:$3</formula>
    <oldFormula>'план по отчету'!$3:$3</oldFormula>
  </rdn>
  <rdn rId="0" localSheetId="5" customView="1" name="Z_BD55AB36_084D_4C26_BAB2_482C24A270C8_.wvu.Rows" hidden="1" oldHidden="1">
    <formula>'план по отчету'!$13:$13,'план по отчету'!$16:$16,'план по отчету'!$44:$45,'план по отчету'!$48:$48,'план по отчету'!$75:$75</formula>
    <oldFormula>'план по отчету'!$13:$13,'план по отчету'!$16:$16,'план по отчету'!$44:$45,'план по отчету'!$48:$48,'план по отчету'!$75:$75</oldFormula>
  </rdn>
  <rdn rId="0" localSheetId="6" customView="1" name="Z_BD55AB36_084D_4C26_BAB2_482C24A270C8_.wvu.PrintArea" hidden="1" oldHidden="1">
    <formula>'на отправку'!$A$1:$C$78</formula>
    <oldFormula>'на отправку'!$A$1:$C$78</oldFormula>
  </rdn>
  <rdn rId="0" localSheetId="6" customView="1" name="Z_BD55AB36_084D_4C26_BAB2_482C24A270C8_.wvu.PrintTitles" hidden="1" oldHidden="1">
    <formula>'на отправку'!$3:$3</formula>
    <oldFormula>'на отправку'!$3:$3</oldFormula>
  </rdn>
  <rdn rId="0" localSheetId="6" customView="1" name="Z_BD55AB36_084D_4C26_BAB2_482C24A270C8_.wvu.Rows" hidden="1" oldHidden="1">
    <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formula>
    <old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oldFormula>
  </rdn>
  <rdn rId="0" localSheetId="7" customView="1" name="Z_BD55AB36_084D_4C26_BAB2_482C24A270C8_.wvu.PrintArea" hidden="1" oldHidden="1">
    <formula>'по отчету'!$A$1:$C$78</formula>
    <oldFormula>'по отчету'!$A$1:$C$78</oldFormula>
  </rdn>
  <rdn rId="0" localSheetId="7" customView="1" name="Z_BD55AB36_084D_4C26_BAB2_482C24A270C8_.wvu.PrintTitles" hidden="1" oldHidden="1">
    <formula>'по отчету'!$3:$3</formula>
    <oldFormula>'по отчету'!$3:$3</oldFormula>
  </rdn>
  <rdn rId="0" localSheetId="7" customView="1" name="Z_BD55AB36_084D_4C26_BAB2_482C24A270C8_.wvu.Rows" hidden="1" oldHidden="1">
    <formula>'по отчету'!$13:$13,'по отчету'!$16:$16,'по отчету'!$44:$45,'по отчету'!$48:$48,'по отчету'!$75:$75</formula>
    <oldFormula>'по отчету'!$13:$13,'по отчету'!$16:$16,'по отчету'!$44:$45,'по отчету'!$48:$48,'по отчету'!$75:$75</oldFormula>
  </rdn>
  <rcv guid="{BD55AB36-084D-4C26-BAB2-482C24A270C8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" sId="1" numFmtId="4">
    <oc r="B53">
      <v>1214641.3</v>
    </oc>
    <nc r="B53">
      <v>1587778.2</v>
    </nc>
  </rcc>
  <rcc rId="12" sId="1" numFmtId="4">
    <oc r="C53">
      <v>3680783.6</v>
    </oc>
    <nc r="C53">
      <v>7935220.2999999998</v>
    </nc>
  </rcc>
  <rcc rId="13" sId="1" numFmtId="4">
    <oc r="B54">
      <v>42813.2</v>
    </oc>
    <nc r="B54">
      <v>50107.1</v>
    </nc>
  </rcc>
  <rcc rId="14" sId="1" numFmtId="4">
    <oc r="C54">
      <v>68629.8</v>
    </oc>
    <nc r="C54">
      <v>88453.7</v>
    </nc>
  </rcc>
  <rcc rId="15" sId="1" numFmtId="4">
    <oc r="B55">
      <v>11460151</v>
    </oc>
    <nc r="B55">
      <v>13516559.5</v>
    </nc>
  </rcc>
  <rcc rId="16" sId="1" numFmtId="4">
    <oc r="C55">
      <v>17401965.800000001</v>
    </oc>
    <nc r="C55">
      <v>19277090.699999999</v>
    </nc>
  </rcc>
  <rcc rId="17" sId="1" numFmtId="4">
    <oc r="B56">
      <v>1241582.8</v>
    </oc>
    <nc r="B56">
      <v>1720783.8</v>
    </nc>
  </rcc>
  <rcc rId="18" sId="1" numFmtId="4">
    <oc r="C56">
      <v>1833669.9</v>
    </oc>
    <nc r="C56">
      <v>2354659.9</v>
    </nc>
  </rcc>
  <rcc rId="19" sId="1" numFmtId="4">
    <oc r="B57">
      <v>7930421.0999999996</v>
    </oc>
    <nc r="B57">
      <v>5854234.4000000004</v>
    </nc>
  </rcc>
  <rcc rId="20" sId="1" numFmtId="4">
    <oc r="C57">
      <v>8846728.4000000004</v>
    </oc>
    <nc r="C57">
      <v>7183649.9000000004</v>
    </nc>
  </rcc>
  <rcc rId="21" sId="1" numFmtId="4">
    <oc r="B58">
      <v>13312497</v>
    </oc>
    <nc r="B58">
      <v>14742250</v>
    </nc>
  </rcc>
  <rcc rId="22" sId="1" numFmtId="4">
    <oc r="C58">
      <f>17707298.6+208400</f>
    </oc>
    <nc r="C58">
      <v>20210227.899999999</v>
    </nc>
  </rcc>
  <rcc rId="23" sId="1" numFmtId="4">
    <oc r="B59">
      <v>344230.2</v>
    </oc>
    <nc r="B59">
      <v>446015.1</v>
    </nc>
  </rcc>
  <rcc rId="24" sId="1" numFmtId="4">
    <oc r="C59">
      <v>924939.9</v>
    </oc>
    <nc r="C59">
      <v>885212.8</v>
    </nc>
  </rcc>
  <rcc rId="25" sId="1" numFmtId="4">
    <oc r="B60">
      <v>186709.3</v>
    </oc>
    <nc r="B60">
      <v>202093.1</v>
    </nc>
  </rcc>
  <rcc rId="26" sId="1" numFmtId="4">
    <oc r="C60">
      <v>248391.9</v>
    </oc>
    <nc r="C60">
      <v>291592.59999999998</v>
    </nc>
  </rcc>
  <rcc rId="27" sId="1" numFmtId="4">
    <oc r="B61">
      <v>468577.5</v>
    </oc>
    <nc r="B61">
      <v>452938.1</v>
    </nc>
  </rcc>
  <rcc rId="28" sId="1" numFmtId="4">
    <oc r="C61">
      <v>1123888.8999999999</v>
    </oc>
    <nc r="C61">
      <v>2200000</v>
    </nc>
  </rcc>
  <rcc rId="29" sId="1" numFmtId="4">
    <oc r="B62">
      <v>1464842.1</v>
    </oc>
    <nc r="B62">
      <v>1142342.1000000001</v>
    </nc>
  </rcc>
  <rcc rId="30" sId="1" numFmtId="4">
    <oc r="C62">
      <v>1740338.6</v>
    </oc>
    <nc r="C62">
      <v>1713709.1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" sId="1" numFmtId="4">
    <oc r="B53">
      <v>1587778.2</v>
    </oc>
    <nc r="B53">
      <v>1587778.3</v>
    </nc>
  </rcc>
  <rcc rId="32" sId="1" numFmtId="4">
    <oc r="B59">
      <v>446015.1</v>
    </oc>
    <nc r="B59">
      <v>446015.2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" sId="1" numFmtId="4">
    <oc r="B52">
      <v>7146603.2999999998</v>
    </oc>
    <nc r="B52">
      <v>6845771.5999999996</v>
    </nc>
  </rcc>
  <rcc rId="34" sId="1" numFmtId="4">
    <oc r="C52">
      <v>10697804.699999999</v>
    </oc>
    <nc r="C52">
      <v>9255041.0999999996</v>
    </nc>
  </rcc>
  <rfmt sheetId="1" sqref="B52:C52">
    <dxf>
      <fill>
        <patternFill patternType="none">
          <bgColor auto="1"/>
        </patternFill>
      </fill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" sId="1" numFmtId="4">
    <oc r="B11">
      <v>836334.5</v>
    </oc>
    <nc r="B11"/>
  </rcc>
  <rcc rId="36" sId="1" numFmtId="4">
    <oc r="B12">
      <v>4507831</v>
    </oc>
    <nc r="B12"/>
  </rcc>
  <rcc rId="37" sId="1" numFmtId="4">
    <oc r="B24">
      <v>-2.1</v>
    </oc>
    <nc r="B24"/>
  </rcc>
  <rcc rId="38" sId="1" numFmtId="4">
    <oc r="C24">
      <v>0</v>
    </oc>
    <nc r="C24"/>
  </rcc>
  <rcc rId="39" sId="1" numFmtId="4">
    <oc r="C12">
      <v>6633078.2999999998</v>
    </oc>
    <nc r="C12"/>
  </rcc>
  <rcc rId="40" sId="1" numFmtId="4">
    <oc r="C11">
      <v>1195944.8</v>
    </oc>
    <nc r="C11"/>
  </rcc>
  <rcc rId="41" sId="1" numFmtId="4">
    <oc r="B7">
      <v>7532036.7000000002</v>
    </oc>
    <nc r="B7">
      <v>5442429.5</v>
    </nc>
  </rcc>
  <rcc rId="42" sId="1" numFmtId="4">
    <oc r="C7">
      <v>12173361.4</v>
    </oc>
    <nc r="C7">
      <v>12098743.4</v>
    </nc>
  </rcc>
  <rcc rId="43" sId="1" numFmtId="4">
    <oc r="B8">
      <v>11337735.4</v>
    </oc>
    <nc r="B8">
      <v>13232526.6</v>
    </nc>
  </rcc>
  <rcc rId="44" sId="1" numFmtId="4">
    <oc r="C8">
      <v>15902351</v>
    </oc>
    <nc r="C8">
      <v>20098845</v>
    </nc>
  </rcc>
  <rcc rId="45" sId="1" numFmtId="4">
    <oc r="B10">
      <f>+B11+B12</f>
    </oc>
    <nc r="B10">
      <v>4813035.0999999996</v>
    </nc>
  </rcc>
  <rcc rId="46" sId="1" numFmtId="4">
    <oc r="C10">
      <f>+C11+C12</f>
    </oc>
    <nc r="C10">
      <v>6852354.4000000004</v>
    </nc>
  </rcc>
  <rrc rId="47" sId="1" ref="A16:XFD16" action="insertRow"/>
  <rcc rId="48" sId="1">
    <oc r="B13">
      <f>+B14+B15</f>
    </oc>
    <nc r="B13">
      <f>+B14+B15+B16</f>
    </nc>
  </rcc>
  <rcc rId="49" sId="1">
    <oc r="C13">
      <f>+C14+C15</f>
    </oc>
    <nc r="C13">
      <f>+C14+C15+C16</f>
    </nc>
  </rcc>
  <rcc rId="50" sId="1">
    <nc r="A16" t="inlineStr">
      <is>
        <t>Налог, взимаемый в связи с применением специального налогового режима "Автоматизированная упрощенная система налогообложения"</t>
      </is>
    </nc>
  </rcc>
  <rcc rId="51" sId="1" odxf="1" dxf="1" numFmtId="4">
    <oc r="B14">
      <v>3231623.1</v>
    </oc>
    <nc r="B14">
      <v>3212447.8</v>
    </nc>
    <ndxf>
      <font>
        <sz val="8"/>
        <name val="Times New Roman"/>
        <scheme val="none"/>
      </font>
      <numFmt numFmtId="169" formatCode="#,##0.0_ ;\-#,##0.0\ "/>
    </ndxf>
  </rcc>
  <rcc rId="52" sId="1" odxf="1" dxf="1" numFmtId="4">
    <oc r="C14">
      <v>4153424.8</v>
    </oc>
    <nc r="C14">
      <v>4281193</v>
    </nc>
    <ndxf>
      <font>
        <sz val="8"/>
        <name val="Times New Roman"/>
        <scheme val="none"/>
      </font>
      <numFmt numFmtId="169" formatCode="#,##0.0_ ;\-#,##0.0\ "/>
    </ndxf>
  </rcc>
  <rcc rId="53" sId="1" odxf="1" dxf="1" numFmtId="4">
    <oc r="B15">
      <v>134082.29999999999</v>
    </oc>
    <nc r="B15">
      <v>198173.7</v>
    </nc>
    <ndxf>
      <font>
        <sz val="8"/>
        <name val="Times New Roman"/>
        <scheme val="none"/>
      </font>
      <numFmt numFmtId="169" formatCode="#,##0.0_ ;\-#,##0.0\ "/>
      <alignment horizontal="general" readingOrder="0"/>
      <border outline="0">
        <right/>
      </border>
    </ndxf>
  </rcc>
  <rcc rId="54" sId="1" odxf="1" dxf="1" numFmtId="4">
    <oc r="C15">
      <v>165826</v>
    </oc>
    <nc r="C15">
      <v>240015</v>
    </nc>
    <ndxf>
      <font>
        <sz val="8"/>
        <name val="Times New Roman"/>
        <scheme val="none"/>
      </font>
      <numFmt numFmtId="169" formatCode="#,##0.0_ ;\-#,##0.0\ "/>
    </ndxf>
  </rcc>
  <rcc rId="55" sId="1" odxf="1" dxf="1" numFmtId="4">
    <nc r="B16">
      <v>1879.7</v>
    </nc>
    <odxf>
      <font>
        <sz val="12"/>
        <name val="Times New Roman"/>
        <scheme val="none"/>
      </font>
      <numFmt numFmtId="168" formatCode="[&gt;=0.005]#,##0.0;[&lt;=-0.005]\-#,##0.0;#,##0.0"/>
      <alignment horizontal="right" readingOrder="0"/>
      <border outline="0">
        <right style="thin">
          <color auto="1"/>
        </right>
      </border>
    </odxf>
    <ndxf>
      <font>
        <sz val="8"/>
        <name val="Times New Roman"/>
        <scheme val="none"/>
      </font>
      <numFmt numFmtId="169" formatCode="#,##0.0_ ;\-#,##0.0\ "/>
      <alignment horizontal="general" readingOrder="0"/>
      <border outline="0">
        <right/>
      </border>
    </ndxf>
  </rcc>
  <rcc rId="56" sId="1" odxf="1" dxf="1" numFmtId="4">
    <nc r="C16">
      <v>0</v>
    </nc>
    <odxf>
      <font>
        <sz val="12"/>
        <name val="Times New Roman"/>
        <scheme val="none"/>
      </font>
      <numFmt numFmtId="168" formatCode="[&gt;=0.005]#,##0.0;[&lt;=-0.005]\-#,##0.0;#,##0.0"/>
    </odxf>
    <ndxf>
      <font>
        <sz val="8"/>
        <name val="Times New Roman"/>
        <scheme val="none"/>
      </font>
      <numFmt numFmtId="169" formatCode="#,##0.0_ ;\-#,##0.0\ "/>
    </ndxf>
  </rcc>
  <rcc rId="57" sId="1" odxf="1" dxf="1" numFmtId="4">
    <oc r="B18">
      <v>2422856</v>
    </oc>
    <nc r="B18">
      <v>2688271.5</v>
    </nc>
    <ndxf>
      <font>
        <sz val="8"/>
        <name val="Times New Roman"/>
        <scheme val="none"/>
      </font>
      <numFmt numFmtId="169" formatCode="#,##0.0_ ;\-#,##0.0\ "/>
    </ndxf>
  </rcc>
  <rcc rId="58" sId="1" odxf="1" dxf="1" numFmtId="4">
    <oc r="C18">
      <v>3225570.1</v>
    </oc>
    <nc r="C18">
      <v>3528564</v>
    </nc>
    <ndxf>
      <font>
        <sz val="8"/>
        <name val="Times New Roman"/>
        <scheme val="none"/>
      </font>
      <numFmt numFmtId="169" formatCode="#,##0.0_ ;\-#,##0.0\ "/>
    </ndxf>
  </rcc>
  <rcc rId="59" sId="1" odxf="1" dxf="1" numFmtId="4">
    <oc r="B19">
      <v>486349.7</v>
    </oc>
    <nc r="B19">
      <v>454981.7</v>
    </nc>
    <ndxf>
      <font>
        <sz val="8"/>
        <name val="Times New Roman"/>
        <scheme val="none"/>
      </font>
      <numFmt numFmtId="169" formatCode="#,##0.0_ ;\-#,##0.0\ "/>
    </ndxf>
  </rcc>
  <rcc rId="60" sId="1" odxf="1" dxf="1" numFmtId="4">
    <oc r="C19">
      <v>1043355</v>
    </oc>
    <nc r="C19">
      <v>1164778.3</v>
    </nc>
    <ndxf>
      <font>
        <sz val="8"/>
        <name val="Times New Roman"/>
        <scheme val="none"/>
      </font>
      <numFmt numFmtId="169" formatCode="#,##0.0_ ;\-#,##0.0\ "/>
    </ndxf>
  </rcc>
  <rfmt sheetId="1" sqref="B20" start="0" length="0">
    <dxf>
      <font>
        <sz val="8"/>
        <name val="Times New Roman"/>
        <scheme val="none"/>
      </font>
      <numFmt numFmtId="169" formatCode="#,##0.0_ ;\-#,##0.0\ "/>
      <alignment horizontal="general" readingOrder="0"/>
      <border outline="0">
        <right/>
      </border>
    </dxf>
  </rfmt>
  <rcc rId="61" sId="1" odxf="1" dxf="1" numFmtId="4">
    <oc r="C20">
      <v>700</v>
    </oc>
    <nc r="C20">
      <v>672</v>
    </nc>
    <ndxf>
      <font>
        <sz val="8"/>
        <name val="Times New Roman"/>
        <scheme val="none"/>
      </font>
      <numFmt numFmtId="169" formatCode="#,##0.0_ ;\-#,##0.0\ "/>
    </ndxf>
  </rcc>
  <rfmt sheetId="1" sqref="A16">
    <dxf>
      <fill>
        <patternFill patternType="solid">
          <bgColor rgb="FFFFFF00"/>
        </patternFill>
      </fill>
    </dxf>
  </rfmt>
  <rcc rId="62" sId="1" odxf="1" dxf="1" numFmtId="4">
    <oc r="B22">
      <v>1742833.7</v>
    </oc>
    <nc r="B22">
      <v>1809083.9</v>
    </nc>
    <ndxf>
      <font>
        <sz val="8"/>
        <name val="Times New Roman"/>
        <scheme val="none"/>
      </font>
      <numFmt numFmtId="169" formatCode="#,##0.0_ ;\-#,##0.0\ "/>
    </ndxf>
  </rcc>
  <rcc rId="63" sId="1" odxf="1" dxf="1" numFmtId="4">
    <oc r="C22">
      <v>2376583</v>
    </oc>
    <nc r="C22">
      <v>2737023</v>
    </nc>
    <ndxf>
      <font>
        <sz val="8"/>
        <name val="Times New Roman"/>
        <scheme val="none"/>
      </font>
      <numFmt numFmtId="169" formatCode="#,##0.0_ ;\-#,##0.0\ "/>
    </ndxf>
  </rcc>
  <rcc rId="64" sId="1" odxf="1" dxf="1" numFmtId="4">
    <oc r="B23">
      <v>50061.5</v>
    </oc>
    <nc r="B23">
      <v>51021.3</v>
    </nc>
    <ndxf>
      <font>
        <sz val="8"/>
        <name val="Times New Roman"/>
        <scheme val="none"/>
      </font>
      <numFmt numFmtId="169" formatCode="#,##0.0_ ;\-#,##0.0\ "/>
    </ndxf>
  </rcc>
  <rcc rId="65" sId="1" odxf="1" dxf="1" numFmtId="4">
    <oc r="C23">
      <v>57081.599999999999</v>
    </oc>
    <nc r="C23">
      <v>84808</v>
    </nc>
    <ndxf>
      <font>
        <sz val="8"/>
        <name val="Times New Roman"/>
        <scheme val="none"/>
      </font>
      <numFmt numFmtId="169" formatCode="#,##0.0_ ;\-#,##0.0\ "/>
    </ndxf>
  </rcc>
  <rcc rId="66" sId="1" numFmtId="4">
    <oc r="B24">
      <v>59854.400000000001</v>
    </oc>
    <nc r="B24">
      <v>74673</v>
    </nc>
  </rcc>
  <rcc rId="67" sId="1" numFmtId="4">
    <oc r="C24">
      <v>90656.1</v>
    </oc>
    <nc r="C24">
      <v>90607</v>
    </nc>
  </rcc>
  <rcc rId="68" sId="1" numFmtId="4">
    <oc r="B26">
      <v>254007.3</v>
    </oc>
    <nc r="B26">
      <v>145849.9</v>
    </nc>
  </rcc>
  <rcc rId="69" sId="1" numFmtId="4">
    <oc r="C26">
      <v>327321.3</v>
    </oc>
    <nc r="C26">
      <v>464001</v>
    </nc>
  </rcc>
  <rcc rId="70" sId="1" numFmtId="4">
    <oc r="B27">
      <v>830539.4</v>
    </oc>
    <nc r="B27">
      <v>1035758.4</v>
    </nc>
  </rcc>
  <rcc rId="71" sId="1" numFmtId="4">
    <oc r="C27">
      <v>1211925.5</v>
    </oc>
    <nc r="C27">
      <v>1236903</v>
    </nc>
  </rcc>
  <rcc rId="72" sId="1" numFmtId="4">
    <oc r="B28">
      <v>159483.5</v>
    </oc>
    <nc r="B28">
      <v>84449.4</v>
    </nc>
  </rcc>
  <rcc rId="73" sId="1" numFmtId="4">
    <oc r="C28">
      <v>188025.8</v>
    </oc>
    <nc r="C28">
      <v>196091</v>
    </nc>
  </rcc>
  <rcc rId="74" sId="1" numFmtId="4">
    <oc r="B29">
      <v>24989.200000000001</v>
    </oc>
    <nc r="B29">
      <v>17120.400000000001</v>
    </nc>
  </rcc>
  <rcc rId="75" sId="1" numFmtId="4">
    <oc r="C29">
      <v>77995.199999999997</v>
    </oc>
    <nc r="C29">
      <v>167650</v>
    </nc>
  </rcc>
  <rcc rId="76" sId="1" numFmtId="4">
    <oc r="B30">
      <v>-1.9</v>
    </oc>
    <nc r="B30">
      <v>1.1000000000000001</v>
    </nc>
  </rcc>
  <rcc rId="77" sId="1" numFmtId="4">
    <oc r="C30">
      <v>10.1</v>
    </oc>
    <nc r="C30">
      <v>7</v>
    </nc>
  </rcc>
  <rcc rId="78" sId="1" numFmtId="4">
    <oc r="B31">
      <v>506682.8</v>
    </oc>
    <nc r="B31">
      <v>692330.6</v>
    </nc>
  </rcc>
  <rcc rId="79" sId="1" numFmtId="4">
    <oc r="C31">
      <v>659562.9</v>
    </oc>
    <nc r="C31">
      <v>688042</v>
    </nc>
  </rcc>
  <rcc rId="80" sId="1" numFmtId="4">
    <oc r="B32">
      <v>5246</v>
    </oc>
    <nc r="B32">
      <v>6447.6</v>
    </nc>
  </rcc>
  <rcc rId="81" sId="1" numFmtId="4">
    <oc r="B35">
      <v>6549272.2999999998</v>
    </oc>
    <nc r="B35">
      <v>6223850.5</v>
    </nc>
  </rcc>
  <rcc rId="82" sId="1" numFmtId="4">
    <oc r="B39">
      <v>11357110.300000001</v>
    </oc>
    <nc r="B39">
      <v>8338230.7999999998</v>
    </nc>
  </rcc>
  <rcc rId="83" sId="1" numFmtId="4">
    <oc r="B40">
      <v>1866410.7</v>
    </oc>
    <nc r="B40">
      <v>1964226.8</v>
    </nc>
  </rcc>
  <rcc rId="84" sId="1" numFmtId="4">
    <oc r="B41">
      <v>565148.30000000005</v>
    </oc>
    <nc r="B41">
      <v>705066.1</v>
    </nc>
  </rcc>
  <rcc rId="85" sId="1" numFmtId="4">
    <oc r="B42">
      <v>204275.8</v>
    </oc>
    <nc r="B42">
      <v>3678396.5</v>
    </nc>
  </rcc>
  <rcc rId="86" sId="1" numFmtId="4">
    <oc r="B43">
      <v>-154.4</v>
    </oc>
    <nc r="B43">
      <v>4975.8</v>
    </nc>
  </rcc>
  <rcc rId="87" sId="1" numFmtId="4">
    <oc r="B44">
      <v>19534.900000000001</v>
    </oc>
    <nc r="B44">
      <v>202041.4</v>
    </nc>
  </rcc>
  <rcc rId="88" sId="1" numFmtId="4">
    <oc r="B45">
      <v>107805.8</v>
    </oc>
    <nc r="B45">
      <v>421451.7</v>
    </nc>
  </rcc>
  <rcc rId="89" sId="1" numFmtId="4">
    <oc r="C45">
      <v>92909</v>
    </oc>
    <nc r="C45">
      <v>100000</v>
    </nc>
  </rcc>
  <rcc rId="90" sId="1" numFmtId="4">
    <oc r="B46">
      <v>-162692.79999999999</v>
    </oc>
    <nc r="B46">
      <v>-166416</v>
    </nc>
  </rcc>
  <rcc rId="91" sId="1" numFmtId="4">
    <oc r="C46">
      <v>-81370.399999999994</v>
    </oc>
    <nc r="C46">
      <v>0</v>
    </nc>
  </rcc>
  <rcc rId="92" sId="1" odxf="1" dxf="1">
    <nc r="D33">
      <f>D34+D42+D43+D44+D45+D46</f>
    </nc>
    <odxf>
      <numFmt numFmtId="0" formatCode="General"/>
      <alignment horizontal="general" vertical="bottom" readingOrder="0"/>
      <border outline="0">
        <left/>
        <right/>
        <top/>
        <bottom/>
      </border>
    </odxf>
    <ndxf>
      <numFmt numFmtId="168" formatCode="[&gt;=0.005]#,##0.0;[&lt;=-0.005]\-#,##0.0;#,##0.0"/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" sId="1" odxf="1" dxf="1">
    <nc r="D34">
      <f>D35+D39+D40+D41</f>
    </nc>
    <odxf>
      <numFmt numFmtId="0" formatCode="General"/>
      <alignment horizontal="general" vertical="bottom" readingOrder="0"/>
      <border outline="0">
        <left/>
        <right/>
        <top/>
        <bottom/>
      </border>
    </odxf>
    <ndxf>
      <numFmt numFmtId="168" formatCode="[&gt;=0.005]#,##0.0;[&lt;=-0.005]\-#,##0.0;#,##0.0"/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" sId="1" odxf="1" s="1" dxf="1" numFmtId="4">
    <nc r="D35">
      <v>8107311.9000000004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8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="1" sqref="D36" start="0" length="0">
    <dxf>
      <numFmt numFmtId="168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D37" start="0" length="0">
    <dxf>
      <numFmt numFmtId="168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D38" start="0" length="0">
    <dxf>
      <numFmt numFmtId="168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5" sId="1" odxf="1" s="1" dxf="1" numFmtId="4">
    <nc r="D39">
      <v>13693225.4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8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" sId="1" odxf="1" s="1" dxf="1" numFmtId="4">
    <nc r="D40">
      <v>2460771.6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8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" sId="1" odxf="1" s="1" dxf="1" numFmtId="4">
    <nc r="D41">
      <v>945564.2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8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" sId="1" odxf="1" s="1" dxf="1" numFmtId="4">
    <nc r="D42">
      <v>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8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" sId="1" odxf="1" s="1" dxf="1" numFmtId="4">
    <nc r="D43">
      <v>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8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" sId="1" odxf="1" s="1" dxf="1" numFmtId="4">
    <nc r="D44">
      <v>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8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" sId="1" odxf="1" s="1" dxf="1" numFmtId="4">
    <nc r="D45">
      <v>100000</v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 val="0"/>
        <sz val="12"/>
        <color auto="1"/>
        <name val="Times New Roman"/>
        <scheme val="none"/>
      </font>
      <numFmt numFmtId="168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" sId="1" odxf="1" s="1" dxf="1" numFmtId="4">
    <nc r="D46">
      <v>0</v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 val="0"/>
        <sz val="12"/>
        <color auto="1"/>
        <name val="Times New Roman"/>
        <scheme val="none"/>
      </font>
      <numFmt numFmtId="168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" sId="1">
    <nc r="D3" t="inlineStr">
      <is>
        <t>закон</t>
      </is>
    </nc>
  </rcc>
  <rcc rId="104" sId="1" numFmtId="4">
    <oc r="C35">
      <v>8690122.9000000004</v>
    </oc>
    <nc r="C35">
      <v>8250677.7999999998</v>
    </nc>
  </rcc>
  <rcc rId="105" sId="1" numFmtId="4">
    <oc r="C39">
      <v>15341853.199999999</v>
    </oc>
    <nc r="C39">
      <v>11357111.5</v>
    </nc>
  </rcc>
  <rcc rId="106" sId="1" numFmtId="4">
    <oc r="C40">
      <v>2357792.7000000002</v>
    </oc>
    <nc r="C40">
      <v>2779819.9</v>
    </nc>
  </rcc>
  <rcc rId="107" sId="1" numFmtId="4">
    <oc r="C41">
      <v>1160583.6000000001</v>
    </oc>
    <nc r="C41">
      <v>1216531.8</v>
    </nc>
  </rcc>
  <rcc rId="108" sId="1" numFmtId="4">
    <oc r="C42">
      <v>368113.7</v>
    </oc>
    <nc r="C42">
      <v>5254776.2</v>
    </nc>
  </rcc>
  <rcc rId="109" sId="1" numFmtId="4">
    <oc r="C43">
      <v>-154.4</v>
    </oc>
    <nc r="C43">
      <v>4975.8</v>
    </nc>
  </rcc>
  <rcc rId="110" sId="1" numFmtId="4">
    <oc r="C44">
      <v>19534.900000000001</v>
    </oc>
    <nc r="C44">
      <v>2041.4</v>
    </nc>
  </rcc>
  <rcc rId="111" sId="1" odxf="1" dxf="1" numFmtId="4">
    <oc r="B36">
      <v>5655628.7999999998</v>
    </oc>
    <nc r="B36">
      <v>5372847.9000000004</v>
    </nc>
    <ndxf>
      <font>
        <sz val="8"/>
        <name val="Times New Roman"/>
        <scheme val="none"/>
      </font>
      <numFmt numFmtId="169" formatCode="#,##0.0_ ;\-#,##0.0\ "/>
      <alignment horizontal="general" readingOrder="0"/>
      <border outline="0">
        <right/>
      </border>
    </ndxf>
  </rcc>
  <rcc rId="112" sId="1" odxf="1" dxf="1" numFmtId="4">
    <oc r="B37">
      <v>766922.4</v>
    </oc>
    <nc r="B37">
      <v>707636.7</v>
    </nc>
    <ndxf>
      <font>
        <sz val="8"/>
        <name val="Times New Roman"/>
        <scheme val="none"/>
      </font>
      <numFmt numFmtId="169" formatCode="#,##0.0_ ;\-#,##0.0\ "/>
      <alignment horizontal="general" readingOrder="0"/>
      <border outline="0">
        <right/>
      </border>
    </ndxf>
  </rcc>
  <rcc rId="113" sId="1" odxf="1" dxf="1" numFmtId="4">
    <oc r="B38">
      <v>126721.1</v>
    </oc>
    <nc r="B38">
      <v>143365.9</v>
    </nc>
    <ndxf>
      <font>
        <sz val="8"/>
        <name val="Times New Roman"/>
        <scheme val="none"/>
      </font>
      <numFmt numFmtId="169" formatCode="#,##0.0_ ;\-#,##0.0\ "/>
      <alignment horizontal="general" readingOrder="0"/>
      <border outline="0">
        <right/>
      </border>
    </ndxf>
  </rcc>
  <rcc rId="114" sId="1" odxf="1" dxf="1" numFmtId="4">
    <oc r="C38">
      <v>126721.1</v>
    </oc>
    <nc r="C38">
      <v>143365.9</v>
    </nc>
    <ndxf>
      <font>
        <sz val="8"/>
        <name val="Times New Roman"/>
        <scheme val="none"/>
      </font>
      <numFmt numFmtId="169" formatCode="#,##0.0_ ;\-#,##0.0\ "/>
      <alignment horizontal="general" readingOrder="0"/>
      <border outline="0">
        <right/>
      </border>
    </ndxf>
  </rcc>
  <rcc rId="115" sId="1" odxf="1" dxf="1" numFmtId="4">
    <oc r="C37">
      <v>1022563</v>
    </oc>
    <nc r="C37">
      <v>943515</v>
    </nc>
    <ndxf>
      <font>
        <sz val="8"/>
        <name val="Times New Roman"/>
        <scheme val="none"/>
      </font>
      <numFmt numFmtId="169" formatCode="#,##0.0_ ;\-#,##0.0\ "/>
      <alignment horizontal="general" readingOrder="0"/>
      <border outline="0">
        <right/>
      </border>
    </ndxf>
  </rcc>
  <rcc rId="116" sId="1" odxf="1" dxf="1" numFmtId="4">
    <oc r="C36">
      <v>7540838.7999999998</v>
    </oc>
    <nc r="C36">
      <v>7163796.9000000004</v>
    </nc>
    <ndxf>
      <font>
        <sz val="8"/>
        <name val="Times New Roman"/>
        <scheme val="none"/>
      </font>
      <numFmt numFmtId="169" formatCode="#,##0.0_ ;\-#,##0.0\ "/>
      <alignment horizontal="general" readingOrder="0"/>
      <border outline="0">
        <right/>
      </border>
    </ndxf>
  </rcc>
  <rcc rId="117" sId="1" numFmtId="4">
    <oc r="B67">
      <v>-10</v>
    </oc>
    <nc r="B67"/>
  </rcc>
  <rcc rId="118" sId="1" numFmtId="4">
    <oc r="C67">
      <v>-20</v>
    </oc>
    <nc r="C67"/>
  </rcc>
  <rcc rId="119" sId="1" numFmtId="4">
    <oc r="B68">
      <v>-9029030.5999999996</v>
    </oc>
    <nc r="B68"/>
  </rcc>
  <rcc rId="120" sId="1" numFmtId="4">
    <oc r="C68">
      <v>994147.2</v>
    </oc>
    <nc r="C68"/>
  </rcc>
  <rcc rId="121" sId="1" numFmtId="4">
    <oc r="B69">
      <v>2486827.1</v>
    </oc>
    <nc r="B69"/>
  </rcc>
  <rcc rId="122" sId="1" numFmtId="4">
    <oc r="C69">
      <v>-1983123.1</v>
    </oc>
    <nc r="C69"/>
  </rcc>
  <rcc rId="123" sId="1" numFmtId="4">
    <oc r="C72">
      <v>7518.3</v>
    </oc>
    <nc r="C72"/>
  </rcc>
  <rcc rId="124" sId="1" numFmtId="4">
    <oc r="B72">
      <v>10</v>
    </oc>
    <nc r="B72"/>
  </rcc>
  <rcc rId="125" sId="1" numFmtId="4">
    <oc r="B73">
      <v>40005.1</v>
    </oc>
    <nc r="B73"/>
  </rcc>
  <rcc rId="126" sId="1" numFmtId="4">
    <oc r="C73">
      <v>-48385.2</v>
    </oc>
    <nc r="C73"/>
  </rcc>
  <rcc rId="127" sId="1" numFmtId="4">
    <oc r="C74">
      <v>0</v>
    </oc>
    <nc r="C74"/>
  </rcc>
  <rcc rId="128" sId="1" numFmtId="4">
    <oc r="B74">
      <v>6991419</v>
    </oc>
    <nc r="B74"/>
  </rcc>
  <rcc rId="129" sId="1" numFmtId="4">
    <oc r="B75">
      <v>-2440760.2000000002</v>
    </oc>
    <nc r="B75"/>
  </rcc>
  <rcc rId="130" sId="1">
    <oc r="C75">
      <f>1488420-31.7</f>
    </oc>
    <nc r="C75"/>
  </rcc>
  <rdn rId="0" localSheetId="1" customView="1" name="Z_BD55AB36_084D_4C26_BAB2_482C24A270C8_.wvu.PrintArea" hidden="1" oldHidden="1">
    <formula>'ожид.оценка 2024'!$A$1:$C$75</formula>
  </rdn>
  <rdn rId="0" localSheetId="1" customView="1" name="Z_BD55AB36_084D_4C26_BAB2_482C24A270C8_.wvu.PrintTitles" hidden="1" oldHidden="1">
    <formula>'ожид.оценка 2024'!$3:$3</formula>
  </rdn>
  <rdn rId="0" localSheetId="2" customView="1" name="Z_BD55AB36_084D_4C26_BAB2_482C24A270C8_.wvu.PrintArea" hidden="1" oldHidden="1">
    <formula>'по отчету отправка'!$A$1:$C$75</formula>
  </rdn>
  <rdn rId="0" localSheetId="2" customView="1" name="Z_BD55AB36_084D_4C26_BAB2_482C24A270C8_.wvu.PrintTitles" hidden="1" oldHidden="1">
    <formula>'по отчету отправка'!$3:$3</formula>
  </rdn>
  <rdn rId="0" localSheetId="2" customView="1" name="Z_BD55AB36_084D_4C26_BAB2_482C24A270C8_.wvu.Rows" hidden="1" oldHidden="1">
    <formula>'по отчету отправка'!$41:$42</formula>
  </rdn>
  <rdn rId="0" localSheetId="3" customView="1" name="Z_BD55AB36_084D_4C26_BAB2_482C24A270C8_.wvu.PrintArea" hidden="1" oldHidden="1">
    <formula>'по отчету руб'!$A$1:$C$74</formula>
  </rdn>
  <rdn rId="0" localSheetId="3" customView="1" name="Z_BD55AB36_084D_4C26_BAB2_482C24A270C8_.wvu.PrintTitles" hidden="1" oldHidden="1">
    <formula>'по отчету руб'!$3:$3</formula>
  </rdn>
  <rdn rId="0" localSheetId="3" customView="1" name="Z_BD55AB36_084D_4C26_BAB2_482C24A270C8_.wvu.Rows" hidden="1" oldHidden="1">
    <formula>'по отчету руб'!$13:$13,'по отчету руб'!$16:$16,'по отчету руб'!$40:$41,'по отчету руб'!$44:$44,'по отчету руб'!$71:$71</formula>
  </rdn>
  <rdn rId="0" localSheetId="4" customView="1" name="Z_BD55AB36_084D_4C26_BAB2_482C24A270C8_.wvu.PrintArea" hidden="1" oldHidden="1">
    <formula>'по отчету (3)'!$A$1:$C$74</formula>
  </rdn>
  <rdn rId="0" localSheetId="4" customView="1" name="Z_BD55AB36_084D_4C26_BAB2_482C24A270C8_.wvu.PrintTitles" hidden="1" oldHidden="1">
    <formula>'по отчету (3)'!$3:$3</formula>
  </rdn>
  <rdn rId="0" localSheetId="4" customView="1" name="Z_BD55AB36_084D_4C26_BAB2_482C24A270C8_.wvu.Rows" hidden="1" oldHidden="1">
    <formula>'по отчету (3)'!$13:$13,'по отчету (3)'!$16:$16,'по отчету (3)'!$40:$41,'по отчету (3)'!$44:$44,'по отчету (3)'!$71:$71</formula>
  </rdn>
  <rdn rId="0" localSheetId="5" customView="1" name="Z_BD55AB36_084D_4C26_BAB2_482C24A270C8_.wvu.PrintArea" hidden="1" oldHidden="1">
    <formula>'план по отчету'!$A$1:$D$78</formula>
  </rdn>
  <rdn rId="0" localSheetId="5" customView="1" name="Z_BD55AB36_084D_4C26_BAB2_482C24A270C8_.wvu.PrintTitles" hidden="1" oldHidden="1">
    <formula>'план по отчету'!$3:$3</formula>
  </rdn>
  <rdn rId="0" localSheetId="5" customView="1" name="Z_BD55AB36_084D_4C26_BAB2_482C24A270C8_.wvu.Rows" hidden="1" oldHidden="1">
    <formula>'план по отчету'!$13:$13,'план по отчету'!$16:$16,'план по отчету'!$44:$45,'план по отчету'!$48:$48,'план по отчету'!$75:$75</formula>
  </rdn>
  <rdn rId="0" localSheetId="6" customView="1" name="Z_BD55AB36_084D_4C26_BAB2_482C24A270C8_.wvu.PrintArea" hidden="1" oldHidden="1">
    <formula>'на отправку'!$A$1:$C$78</formula>
  </rdn>
  <rdn rId="0" localSheetId="6" customView="1" name="Z_BD55AB36_084D_4C26_BAB2_482C24A270C8_.wvu.PrintTitles" hidden="1" oldHidden="1">
    <formula>'на отправку'!$3:$3</formula>
  </rdn>
  <rdn rId="0" localSheetId="6" customView="1" name="Z_BD55AB36_084D_4C26_BAB2_482C24A270C8_.wvu.Rows" hidden="1" oldHidden="1">
    <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formula>
  </rdn>
  <rdn rId="0" localSheetId="7" customView="1" name="Z_BD55AB36_084D_4C26_BAB2_482C24A270C8_.wvu.PrintArea" hidden="1" oldHidden="1">
    <formula>'по отчету'!$A$1:$C$78</formula>
  </rdn>
  <rdn rId="0" localSheetId="7" customView="1" name="Z_BD55AB36_084D_4C26_BAB2_482C24A270C8_.wvu.PrintTitles" hidden="1" oldHidden="1">
    <formula>'по отчету'!$3:$3</formula>
  </rdn>
  <rdn rId="0" localSheetId="7" customView="1" name="Z_BD55AB36_084D_4C26_BAB2_482C24A270C8_.wvu.Rows" hidden="1" oldHidden="1">
    <formula>'по отчету'!$13:$13,'по отчету'!$16:$16,'по отчету'!$44:$45,'по отчету'!$48:$48,'по отчету'!$75:$75</formula>
  </rdn>
  <rcv guid="{BD55AB36-084D-4C26-BAB2-482C24A270C8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67" start="0" length="0">
    <dxf>
      <font>
        <sz val="7"/>
        <name val="Arial"/>
        <scheme val="none"/>
      </font>
      <numFmt numFmtId="4" formatCode="#,##0.00"/>
      <alignment vertical="top" wrapText="0" readingOrder="0"/>
      <border outline="0">
        <top/>
      </border>
    </dxf>
  </rfmt>
  <rfmt sheetId="1" sqref="B68" start="0" length="0">
    <dxf>
      <font>
        <sz val="7"/>
        <name val="Arial"/>
        <scheme val="none"/>
      </font>
      <numFmt numFmtId="4" formatCode="#,##0.00"/>
      <alignment vertical="top" wrapText="0" readingOrder="0"/>
      <border outline="0">
        <top/>
      </border>
    </dxf>
  </rfmt>
  <rfmt sheetId="1" sqref="C68" start="0" length="0">
    <dxf>
      <font>
        <sz val="7"/>
        <name val="Arial"/>
        <scheme val="none"/>
      </font>
      <numFmt numFmtId="4" formatCode="#,##0.00"/>
      <alignment vertical="top" wrapText="0" readingOrder="0"/>
      <border outline="0">
        <top/>
      </border>
    </dxf>
  </rfmt>
  <rfmt sheetId="1" sqref="C69" start="0" length="0">
    <dxf>
      <font>
        <sz val="7"/>
        <name val="Arial"/>
        <scheme val="none"/>
      </font>
      <numFmt numFmtId="4" formatCode="#,##0.00"/>
      <alignment vertical="top" wrapText="0" readingOrder="0"/>
      <border outline="0">
        <top/>
      </border>
    </dxf>
  </rfmt>
  <rfmt sheetId="1" sqref="B69" start="0" length="0">
    <dxf>
      <font>
        <sz val="7"/>
        <name val="Arial"/>
        <scheme val="none"/>
      </font>
      <numFmt numFmtId="4" formatCode="#,##0.00"/>
      <alignment vertical="top" wrapText="0" readingOrder="0"/>
      <border outline="0">
        <top/>
      </border>
    </dxf>
  </rfmt>
  <rcc rId="151" sId="1" numFmtId="4">
    <nc r="B72">
      <v>20</v>
    </nc>
  </rcc>
  <rcc rId="152" sId="1" numFmtId="4">
    <nc r="C73">
      <v>694516.3</v>
    </nc>
  </rcc>
  <rcc rId="153" sId="1" numFmtId="4">
    <nc r="B73">
      <v>349686.2</v>
    </nc>
  </rcc>
  <rfmt sheetId="1" sqref="B74" start="0" length="0">
    <dxf>
      <font>
        <sz val="7"/>
        <name val="Arial"/>
        <scheme val="none"/>
      </font>
      <numFmt numFmtId="4" formatCode="#,##0.00"/>
      <alignment vertical="top" wrapText="0" readingOrder="0"/>
      <border outline="0">
        <top/>
      </border>
    </dxf>
  </rfmt>
  <rcc rId="154" sId="1" numFmtId="4">
    <nc r="B75">
      <v>-2217757.2000000002</v>
    </nc>
  </rcc>
  <rcc rId="155" sId="1" numFmtId="4">
    <nc r="C75">
      <v>12801.7</v>
    </nc>
  </rcc>
  <rcc rId="156" sId="1">
    <oc r="C33">
      <f>C34+C42+C43+C44+C45+C46</f>
    </oc>
    <nc r="C33">
      <f>C34+C42+C43+C44+C45+C46-0.1</f>
    </nc>
  </rcc>
  <rfmt sheetId="1" sqref="B36" start="0" length="0">
    <dxf>
      <font>
        <sz val="12"/>
        <name val="Times New Roman"/>
        <scheme val="none"/>
      </font>
      <numFmt numFmtId="168" formatCode="[&gt;=0.005]#,##0.0;[&lt;=-0.005]\-#,##0.0;#,##0.0"/>
      <alignment horizontal="right" readingOrder="0"/>
      <border outline="0">
        <right style="thin">
          <color indexed="64"/>
        </right>
      </border>
    </dxf>
  </rfmt>
  <rfmt sheetId="1" sqref="C36" start="0" length="0">
    <dxf>
      <font>
        <sz val="12"/>
        <name val="Times New Roman"/>
        <scheme val="none"/>
      </font>
      <numFmt numFmtId="168" formatCode="[&gt;=0.005]#,##0.0;[&lt;=-0.005]\-#,##0.0;#,##0.0"/>
      <alignment horizontal="right" readingOrder="0"/>
      <border outline="0">
        <right style="thin">
          <color indexed="64"/>
        </right>
      </border>
    </dxf>
  </rfmt>
  <rfmt sheetId="1" sqref="B37" start="0" length="0">
    <dxf>
      <font>
        <sz val="12"/>
        <name val="Times New Roman"/>
        <scheme val="none"/>
      </font>
      <numFmt numFmtId="168" formatCode="[&gt;=0.005]#,##0.0;[&lt;=-0.005]\-#,##0.0;#,##0.0"/>
      <alignment horizontal="right" readingOrder="0"/>
      <border outline="0">
        <right style="thin">
          <color indexed="64"/>
        </right>
      </border>
    </dxf>
  </rfmt>
  <rfmt sheetId="1" sqref="C37" start="0" length="0">
    <dxf>
      <font>
        <sz val="12"/>
        <name val="Times New Roman"/>
        <scheme val="none"/>
      </font>
      <numFmt numFmtId="168" formatCode="[&gt;=0.005]#,##0.0;[&lt;=-0.005]\-#,##0.0;#,##0.0"/>
      <alignment horizontal="right" readingOrder="0"/>
      <border outline="0">
        <right style="thin">
          <color indexed="64"/>
        </right>
      </border>
    </dxf>
  </rfmt>
  <rfmt sheetId="1" sqref="B38" start="0" length="0">
    <dxf>
      <font>
        <sz val="12"/>
        <name val="Times New Roman"/>
        <scheme val="none"/>
      </font>
      <numFmt numFmtId="168" formatCode="[&gt;=0.005]#,##0.0;[&lt;=-0.005]\-#,##0.0;#,##0.0"/>
      <alignment horizontal="right" readingOrder="0"/>
      <border outline="0">
        <right style="thin">
          <color indexed="64"/>
        </right>
      </border>
    </dxf>
  </rfmt>
  <rfmt sheetId="1" sqref="C38" start="0" length="0">
    <dxf>
      <font>
        <sz val="12"/>
        <name val="Times New Roman"/>
        <scheme val="none"/>
      </font>
      <numFmt numFmtId="168" formatCode="[&gt;=0.005]#,##0.0;[&lt;=-0.005]\-#,##0.0;#,##0.0"/>
      <alignment horizontal="right" readingOrder="0"/>
      <border outline="0">
        <right style="thin">
          <color indexed="64"/>
        </right>
      </border>
    </dxf>
  </rfmt>
  <rcc rId="157" sId="1" odxf="1" dxf="1" numFmtId="4">
    <nc r="C67">
      <v>-10</v>
    </nc>
    <ndxf>
      <font>
        <sz val="12"/>
        <name val="Times New Roman"/>
        <scheme val="none"/>
      </font>
      <numFmt numFmtId="168" formatCode="[&gt;=0.005]#,##0.0;[&lt;=-0.005]\-#,##0.0;#,##0.0"/>
      <alignment vertical="center" wrapText="1" readingOrder="0"/>
      <border outline="0">
        <top style="thin">
          <color indexed="64"/>
        </top>
      </border>
    </ndxf>
  </rcc>
  <rcc rId="158" sId="1" odxf="1" dxf="1" numFmtId="4">
    <nc r="B68">
      <v>-9525000</v>
    </nc>
    <ndxf>
      <font>
        <sz val="12"/>
        <name val="Times New Roman"/>
        <scheme val="none"/>
      </font>
      <numFmt numFmtId="168" formatCode="[&gt;=0.005]#,##0.0;[&lt;=-0.005]\-#,##0.0;#,##0.0"/>
      <alignment vertical="center" wrapText="1" readingOrder="0"/>
      <border outline="0">
        <top style="thin">
          <color indexed="64"/>
        </top>
      </border>
    </ndxf>
  </rcc>
  <rcc rId="159" sId="1" odxf="1" dxf="1" numFmtId="4">
    <nc r="C68">
      <v>-6439931.2000000002</v>
    </nc>
    <ndxf>
      <font>
        <sz val="12"/>
        <name val="Times New Roman"/>
        <scheme val="none"/>
      </font>
      <numFmt numFmtId="168" formatCode="[&gt;=0.005]#,##0.0;[&lt;=-0.005]\-#,##0.0;#,##0.0"/>
      <alignment vertical="center" wrapText="1" readingOrder="0"/>
      <border outline="0">
        <top style="thin">
          <color indexed="64"/>
        </top>
      </border>
    </ndxf>
  </rcc>
  <rcc rId="160" sId="1" odxf="1" dxf="1" numFmtId="4">
    <nc r="B69">
      <v>2430725</v>
    </nc>
    <ndxf>
      <font>
        <sz val="12"/>
        <name val="Times New Roman"/>
        <scheme val="none"/>
      </font>
      <numFmt numFmtId="168" formatCode="[&gt;=0.005]#,##0.0;[&lt;=-0.005]\-#,##0.0;#,##0.0"/>
      <alignment vertical="center" wrapText="1" readingOrder="0"/>
      <border outline="0">
        <top style="thin">
          <color indexed="64"/>
        </top>
      </border>
    </ndxf>
  </rcc>
  <rcc rId="161" sId="1" odxf="1" dxf="1" numFmtId="4">
    <nc r="C69">
      <v>6785514.4000000004</v>
    </nc>
    <ndxf>
      <font>
        <sz val="12"/>
        <name val="Times New Roman"/>
        <scheme val="none"/>
      </font>
      <numFmt numFmtId="168" formatCode="[&gt;=0.005]#,##0.0;[&lt;=-0.005]\-#,##0.0;#,##0.0"/>
      <alignment vertical="center" wrapText="1" readingOrder="0"/>
      <border outline="0">
        <top style="thin">
          <color indexed="64"/>
        </top>
      </border>
    </ndxf>
  </rcc>
  <rcc rId="162" sId="1">
    <oc r="B70">
      <f>B71+B72+B73+B74</f>
    </oc>
    <nc r="B70">
      <f>B71+B72+B73+B74</f>
    </nc>
  </rcc>
  <rcc rId="163" sId="1">
    <oc r="C70">
      <f>C72+C73</f>
    </oc>
    <nc r="C70">
      <f>C72+C73</f>
    </nc>
  </rcc>
  <rfmt sheetId="1" sqref="B71" start="0" length="0">
    <dxf>
      <font>
        <sz val="12"/>
        <color rgb="FF000000"/>
        <name val="Times New Roman"/>
        <scheme val="none"/>
      </font>
      <numFmt numFmtId="168" formatCode="[&gt;=0.005]#,##0.0;[&lt;=-0.005]\-#,##0.0;#,##0.0"/>
    </dxf>
  </rfmt>
  <rfmt sheetId="1" sqref="C71" start="0" length="0">
    <dxf>
      <font>
        <sz val="12"/>
        <color rgb="FF000000"/>
        <name val="Times New Roman"/>
        <scheme val="none"/>
      </font>
      <numFmt numFmtId="168" formatCode="[&gt;=0.005]#,##0.0;[&lt;=-0.005]\-#,##0.0;#,##0.0"/>
    </dxf>
  </rfmt>
  <rcc rId="164" sId="1" odxf="1" dxf="1" numFmtId="4">
    <nc r="B74">
      <v>8486450</v>
    </nc>
    <ndxf>
      <font>
        <sz val="12"/>
        <name val="Times New Roman"/>
        <scheme val="none"/>
      </font>
      <numFmt numFmtId="168" formatCode="[&gt;=0.005]#,##0.0;[&lt;=-0.005]\-#,##0.0;#,##0.0"/>
      <alignment vertical="center" wrapText="1" readingOrder="0"/>
      <border outline="0">
        <top style="thin">
          <color indexed="64"/>
        </top>
      </border>
    </ndxf>
  </rcc>
  <rfmt sheetId="1" sqref="B11:C12">
    <dxf>
      <fill>
        <patternFill patternType="solid">
          <bgColor rgb="FFFFFF00"/>
        </patternFill>
      </fill>
    </dxf>
  </rfmt>
  <rfmt sheetId="1" s="1" sqref="B7" start="0" length="0">
    <dxf>
      <alignment vertical="top" wrapText="0" readingOrder="0"/>
    </dxf>
  </rfmt>
  <rfmt sheetId="1" s="1" sqref="C7" start="0" length="0">
    <dxf>
      <alignment vertical="top" wrapText="0" readingOrder="0"/>
    </dxf>
  </rfmt>
  <rfmt sheetId="1" s="1" sqref="B8" start="0" length="0">
    <dxf>
      <alignment vertical="top" wrapText="0" readingOrder="0"/>
    </dxf>
  </rfmt>
  <rfmt sheetId="1" s="1" sqref="C8" start="0" length="0">
    <dxf>
      <alignment vertical="top" wrapText="0" readingOrder="0"/>
    </dxf>
  </rfmt>
  <rcc rId="165" sId="1" odxf="1" dxf="1">
    <oc r="B9">
      <f>+B10</f>
    </oc>
    <nc r="B9">
      <f>+B10</f>
    </nc>
    <odxf>
      <alignment vertical="center" wrapText="1" readingOrder="0"/>
    </odxf>
    <ndxf>
      <alignment vertical="top" wrapText="0" readingOrder="0"/>
    </ndxf>
  </rcc>
  <rcc rId="166" sId="1" odxf="1" dxf="1">
    <oc r="C9">
      <f>+C10</f>
    </oc>
    <nc r="C9">
      <f>+C10</f>
    </nc>
    <odxf>
      <alignment vertical="center" wrapText="1" readingOrder="0"/>
    </odxf>
    <ndxf>
      <alignment vertical="top" wrapText="0" readingOrder="0"/>
    </ndxf>
  </rcc>
  <rfmt sheetId="1" sqref="B10" start="0" length="0">
    <dxf>
      <alignment vertical="top" wrapText="0" readingOrder="0"/>
    </dxf>
  </rfmt>
  <rfmt sheetId="1" sqref="C10" start="0" length="0">
    <dxf>
      <alignment vertical="top" wrapText="0" readingOrder="0"/>
    </dxf>
  </rfmt>
  <rfmt sheetId="1" s="1" sqref="B11" start="0" length="0">
    <dxf>
      <fill>
        <patternFill patternType="none">
          <bgColor indexed="65"/>
        </patternFill>
      </fill>
      <alignment vertical="top" wrapText="0" readingOrder="0"/>
    </dxf>
  </rfmt>
  <rfmt sheetId="1" s="1" sqref="C11" start="0" length="0">
    <dxf>
      <fill>
        <patternFill patternType="none">
          <bgColor indexed="65"/>
        </patternFill>
      </fill>
      <alignment vertical="top" wrapText="0" readingOrder="0"/>
    </dxf>
  </rfmt>
  <rfmt sheetId="1" s="1" sqref="B12" start="0" length="0">
    <dxf>
      <fill>
        <patternFill patternType="none">
          <bgColor indexed="65"/>
        </patternFill>
      </fill>
      <alignment vertical="top" wrapText="0" readingOrder="0"/>
    </dxf>
  </rfmt>
  <rfmt sheetId="1" s="1" sqref="C12" start="0" length="0">
    <dxf>
      <fill>
        <patternFill patternType="none">
          <bgColor indexed="65"/>
        </patternFill>
      </fill>
      <alignment vertical="top" wrapText="0" readingOrder="0"/>
    </dxf>
  </rfmt>
  <rcc rId="167" sId="1" odxf="1" s="1" dxf="1">
    <oc r="B13">
      <f>+B14+B15+B16</f>
    </oc>
    <nc r="B13">
      <f>+B14+B15+B16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8" formatCode="[&gt;=0.005]#,##0.0;[&lt;=-0.005]\-#,##0.0;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vertical="top" wrapText="0" readingOrder="0"/>
    </ndxf>
  </rcc>
  <rcc rId="168" sId="1" odxf="1" s="1" dxf="1">
    <oc r="C13">
      <f>+C14+C15+C16</f>
    </oc>
    <nc r="C13">
      <f>+C14+C15+C16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8" formatCode="[&gt;=0.005]#,##0.0;[&lt;=-0.005]\-#,##0.0;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vertical="top" wrapText="0" readingOrder="0"/>
    </ndxf>
  </rcc>
  <rfmt sheetId="1" s="1" sqref="B14" start="0" length="0">
    <dxf>
      <font>
        <sz val="12"/>
        <color auto="1"/>
        <name val="Times New Roman"/>
        <scheme val="none"/>
      </font>
      <numFmt numFmtId="168" formatCode="[&gt;=0.005]#,##0.0;[&lt;=-0.005]\-#,##0.0;#,##0.0"/>
      <alignment vertical="top" wrapText="0" readingOrder="0"/>
    </dxf>
  </rfmt>
  <rfmt sheetId="1" s="1" sqref="C14" start="0" length="0">
    <dxf>
      <font>
        <sz val="12"/>
        <color auto="1"/>
        <name val="Times New Roman"/>
        <scheme val="none"/>
      </font>
      <numFmt numFmtId="168" formatCode="[&gt;=0.005]#,##0.0;[&lt;=-0.005]\-#,##0.0;#,##0.0"/>
      <alignment vertical="top" wrapText="0" readingOrder="0"/>
    </dxf>
  </rfmt>
  <rfmt sheetId="1" s="1" sqref="B15" start="0" length="0">
    <dxf>
      <font>
        <sz val="12"/>
        <color auto="1"/>
        <name val="Times New Roman"/>
        <scheme val="none"/>
      </font>
      <numFmt numFmtId="168" formatCode="[&gt;=0.005]#,##0.0;[&lt;=-0.005]\-#,##0.0;#,##0.0"/>
      <alignment horizontal="right" vertical="top" wrapText="0" readingOrder="0"/>
      <border outline="0">
        <right style="thin">
          <color indexed="64"/>
        </right>
      </border>
    </dxf>
  </rfmt>
  <rfmt sheetId="1" s="1" sqref="C15" start="0" length="0">
    <dxf>
      <font>
        <sz val="12"/>
        <color auto="1"/>
        <name val="Times New Roman"/>
        <scheme val="none"/>
      </font>
      <numFmt numFmtId="168" formatCode="[&gt;=0.005]#,##0.0;[&lt;=-0.005]\-#,##0.0;#,##0.0"/>
      <alignment vertical="top" wrapText="0" readingOrder="0"/>
    </dxf>
  </rfmt>
  <rfmt sheetId="1" s="1" sqref="B16" start="0" length="0">
    <dxf>
      <font>
        <sz val="12"/>
        <color auto="1"/>
        <name val="Times New Roman"/>
        <scheme val="none"/>
      </font>
      <numFmt numFmtId="168" formatCode="[&gt;=0.005]#,##0.0;[&lt;=-0.005]\-#,##0.0;#,##0.0"/>
      <alignment horizontal="right" vertical="top" wrapText="0" readingOrder="0"/>
      <border outline="0">
        <right style="thin">
          <color indexed="64"/>
        </right>
      </border>
    </dxf>
  </rfmt>
  <rfmt sheetId="1" s="1" sqref="C16" start="0" length="0">
    <dxf>
      <font>
        <sz val="12"/>
        <color auto="1"/>
        <name val="Times New Roman"/>
        <scheme val="none"/>
      </font>
      <numFmt numFmtId="168" formatCode="[&gt;=0.005]#,##0.0;[&lt;=-0.005]\-#,##0.0;#,##0.0"/>
      <alignment vertical="top" wrapText="0" readingOrder="0"/>
    </dxf>
  </rfmt>
  <rcc rId="169" sId="1" odxf="1" s="1" dxf="1">
    <oc r="B17">
      <f>+B18+B19+B20</f>
    </oc>
    <nc r="B17">
      <f>+B18+B19+B20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8" formatCode="[&gt;=0.005]#,##0.0;[&lt;=-0.005]\-#,##0.0;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vertical="top" wrapText="0" readingOrder="0"/>
    </ndxf>
  </rcc>
  <rcc rId="170" sId="1" odxf="1" s="1" dxf="1">
    <oc r="C17">
      <f>+C18+C19+C20</f>
    </oc>
    <nc r="C17">
      <f>+C18+C19+C20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8" formatCode="[&gt;=0.005]#,##0.0;[&lt;=-0.005]\-#,##0.0;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vertical="top" wrapText="0" readingOrder="0"/>
    </ndxf>
  </rcc>
  <rfmt sheetId="1" s="1" sqref="B18" start="0" length="0">
    <dxf>
      <font>
        <sz val="12"/>
        <color auto="1"/>
        <name val="Times New Roman"/>
        <scheme val="none"/>
      </font>
      <numFmt numFmtId="168" formatCode="[&gt;=0.005]#,##0.0;[&lt;=-0.005]\-#,##0.0;#,##0.0"/>
      <alignment vertical="top" wrapText="0" readingOrder="0"/>
    </dxf>
  </rfmt>
  <rfmt sheetId="1" s="1" sqref="C18" start="0" length="0">
    <dxf>
      <font>
        <sz val="12"/>
        <color auto="1"/>
        <name val="Times New Roman"/>
        <scheme val="none"/>
      </font>
      <numFmt numFmtId="168" formatCode="[&gt;=0.005]#,##0.0;[&lt;=-0.005]\-#,##0.0;#,##0.0"/>
      <alignment vertical="top" wrapText="0" readingOrder="0"/>
    </dxf>
  </rfmt>
  <rfmt sheetId="1" s="1" sqref="B19" start="0" length="0">
    <dxf>
      <font>
        <sz val="12"/>
        <color auto="1"/>
        <name val="Times New Roman"/>
        <scheme val="none"/>
      </font>
      <numFmt numFmtId="168" formatCode="[&gt;=0.005]#,##0.0;[&lt;=-0.005]\-#,##0.0;#,##0.0"/>
      <alignment vertical="top" wrapText="0" readingOrder="0"/>
    </dxf>
  </rfmt>
  <rfmt sheetId="1" s="1" sqref="C19" start="0" length="0">
    <dxf>
      <font>
        <sz val="12"/>
        <color auto="1"/>
        <name val="Times New Roman"/>
        <scheme val="none"/>
      </font>
      <numFmt numFmtId="168" formatCode="[&gt;=0.005]#,##0.0;[&lt;=-0.005]\-#,##0.0;#,##0.0"/>
      <alignment vertical="top" wrapText="0" readingOrder="0"/>
    </dxf>
  </rfmt>
  <rfmt sheetId="1" s="1" sqref="B20" start="0" length="0">
    <dxf>
      <font>
        <sz val="12"/>
        <color auto="1"/>
        <name val="Times New Roman"/>
        <scheme val="none"/>
      </font>
      <numFmt numFmtId="168" formatCode="[&gt;=0.005]#,##0.0;[&lt;=-0.005]\-#,##0.0;#,##0.0"/>
      <alignment horizontal="right" vertical="top" wrapText="0" readingOrder="0"/>
      <border outline="0">
        <right style="thin">
          <color indexed="64"/>
        </right>
      </border>
    </dxf>
  </rfmt>
  <rfmt sheetId="1" s="1" sqref="C20" start="0" length="0">
    <dxf>
      <font>
        <sz val="12"/>
        <color auto="1"/>
        <name val="Times New Roman"/>
        <scheme val="none"/>
      </font>
      <numFmt numFmtId="168" formatCode="[&gt;=0.005]#,##0.0;[&lt;=-0.005]\-#,##0.0;#,##0.0"/>
      <alignment vertical="top" wrapText="0" readingOrder="0"/>
    </dxf>
  </rfmt>
  <rcc rId="171" sId="1" odxf="1" s="1" dxf="1">
    <oc r="B21">
      <f>B22+B23</f>
    </oc>
    <nc r="B21">
      <f>B22+B23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8" formatCode="[&gt;=0.005]#,##0.0;[&lt;=-0.005]\-#,##0.0;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vertical="top" wrapText="0" readingOrder="0"/>
    </ndxf>
  </rcc>
  <rcc rId="172" sId="1" odxf="1" s="1" dxf="1">
    <oc r="C21">
      <f>C22+C23</f>
    </oc>
    <nc r="C21">
      <f>C22+C23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8" formatCode="[&gt;=0.005]#,##0.0;[&lt;=-0.005]\-#,##0.0;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vertical="top" wrapText="0" readingOrder="0"/>
    </ndxf>
  </rcc>
  <rfmt sheetId="1" s="1" sqref="B22" start="0" length="0">
    <dxf>
      <font>
        <sz val="12"/>
        <color auto="1"/>
        <name val="Times New Roman"/>
        <scheme val="none"/>
      </font>
      <numFmt numFmtId="168" formatCode="[&gt;=0.005]#,##0.0;[&lt;=-0.005]\-#,##0.0;#,##0.0"/>
      <alignment vertical="top" wrapText="0" readingOrder="0"/>
    </dxf>
  </rfmt>
  <rfmt sheetId="1" s="1" sqref="C22" start="0" length="0">
    <dxf>
      <font>
        <sz val="12"/>
        <color auto="1"/>
        <name val="Times New Roman"/>
        <scheme val="none"/>
      </font>
      <numFmt numFmtId="168" formatCode="[&gt;=0.005]#,##0.0;[&lt;=-0.005]\-#,##0.0;#,##0.0"/>
      <alignment vertical="top" wrapText="0" readingOrder="0"/>
    </dxf>
  </rfmt>
  <rfmt sheetId="1" s="1" sqref="B23" start="0" length="0">
    <dxf>
      <font>
        <sz val="12"/>
        <color auto="1"/>
        <name val="Times New Roman"/>
        <scheme val="none"/>
      </font>
      <numFmt numFmtId="168" formatCode="[&gt;=0.005]#,##0.0;[&lt;=-0.005]\-#,##0.0;#,##0.0"/>
      <alignment vertical="top" wrapText="0" readingOrder="0"/>
    </dxf>
  </rfmt>
  <rfmt sheetId="1" s="1" sqref="C23" start="0" length="0">
    <dxf>
      <font>
        <sz val="12"/>
        <color auto="1"/>
        <name val="Times New Roman"/>
        <scheme val="none"/>
      </font>
      <numFmt numFmtId="168" formatCode="[&gt;=0.005]#,##0.0;[&lt;=-0.005]\-#,##0.0;#,##0.0"/>
      <alignment vertical="top" wrapText="0" readingOrder="0"/>
    </dxf>
  </rfmt>
  <rfmt sheetId="1" sqref="B24" start="0" length="0">
    <dxf>
      <alignment vertical="top" wrapText="0" readingOrder="0"/>
    </dxf>
  </rfmt>
  <rfmt sheetId="1" sqref="C24" start="0" length="0">
    <dxf>
      <alignment vertical="top" wrapText="0" readingOrder="0"/>
    </dxf>
  </rfmt>
  <rfmt sheetId="1" sqref="B25" start="0" length="0">
    <dxf>
      <alignment vertical="top" wrapText="0" readingOrder="0"/>
    </dxf>
  </rfmt>
  <rfmt sheetId="1" sqref="C25" start="0" length="0">
    <dxf>
      <alignment vertical="top" wrapText="0" readingOrder="0"/>
    </dxf>
  </rfmt>
  <rfmt sheetId="1" sqref="B26" start="0" length="0">
    <dxf>
      <alignment vertical="top" wrapText="0" readingOrder="0"/>
    </dxf>
  </rfmt>
  <rfmt sheetId="1" sqref="C26" start="0" length="0">
    <dxf>
      <alignment vertical="top" wrapText="0" readingOrder="0"/>
    </dxf>
  </rfmt>
  <rfmt sheetId="1" sqref="B27" start="0" length="0">
    <dxf>
      <alignment vertical="top" wrapText="0" readingOrder="0"/>
    </dxf>
  </rfmt>
  <rfmt sheetId="1" sqref="C27" start="0" length="0">
    <dxf>
      <alignment vertical="top" wrapText="0" readingOrder="0"/>
    </dxf>
  </rfmt>
  <rfmt sheetId="1" s="1" sqref="B28" start="0" length="0">
    <dxf>
      <alignment vertical="top" wrapText="0" readingOrder="0"/>
    </dxf>
  </rfmt>
  <rfmt sheetId="1" s="1" sqref="C28" start="0" length="0">
    <dxf>
      <alignment vertical="top" wrapText="0" readingOrder="0"/>
    </dxf>
  </rfmt>
  <rfmt sheetId="1" s="1" sqref="B29" start="0" length="0">
    <dxf>
      <alignment vertical="top" wrapText="0" readingOrder="0"/>
    </dxf>
  </rfmt>
  <rfmt sheetId="1" s="1" sqref="C29" start="0" length="0">
    <dxf>
      <alignment vertical="top" wrapText="0" readingOrder="0"/>
    </dxf>
  </rfmt>
  <rfmt sheetId="1" sqref="B11:C12">
    <dxf>
      <fill>
        <patternFill patternType="solid">
          <bgColor rgb="FFFFFF00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" sId="1" odxf="1" dxf="1">
    <nc r="E5">
      <f>E6+E9+E13+E17+E21+E24+E25+E26+E27+E28+E29+E30+E31+E32</f>
    </nc>
    <odxf>
      <numFmt numFmtId="0" formatCode="General"/>
      <alignment horizontal="general" vertical="bottom" readingOrder="0"/>
      <border outline="0">
        <left/>
        <right/>
        <top/>
        <bottom/>
      </border>
    </odxf>
    <ndxf>
      <numFmt numFmtId="167" formatCode="[&gt;=0.005]#,##0.0;[&lt;=-0.005]\-#,##0.0;#,##0.0"/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" sId="1" odxf="1" s="1" dxf="1">
    <nc r="E6">
      <f>+E7+E8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" sId="1" odxf="1" s="1" dxf="1" numFmtId="4">
    <nc r="E7">
      <v>12098743.4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" sId="1" odxf="1" s="1" dxf="1" numFmtId="4">
    <nc r="E8">
      <v>20098845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" sId="1" odxf="1" s="1" dxf="1">
    <nc r="E9">
      <f>+E10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" sId="1" odxf="1" s="1" dxf="1" numFmtId="4">
    <nc r="E10">
      <v>6852354.4000000004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="1" sqref="E11" start="0" length="0">
    <dxf>
      <numFmt numFmtId="167" formatCode="[&gt;=0.005]#,##0.0;[&lt;=-0.005]\-#,##0.0;#,##0.0"/>
      <fill>
        <patternFill patternType="solid">
          <bgColor rgb="FFFFFF00"/>
        </patternFill>
      </fill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E12" start="0" length="0">
    <dxf>
      <numFmt numFmtId="167" formatCode="[&gt;=0.005]#,##0.0;[&lt;=-0.005]\-#,##0.0;#,##0.0"/>
      <fill>
        <patternFill patternType="solid">
          <bgColor rgb="FFFFFF00"/>
        </patternFill>
      </fill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9" sId="1" odxf="1" s="1" dxf="1">
    <nc r="E13">
      <f>+E14+E15+E16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" sId="1" odxf="1" s="1" dxf="1" numFmtId="4">
    <nc r="E14">
      <v>4281193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" sId="1" odxf="1" s="1" dxf="1" numFmtId="4">
    <nc r="E15">
      <v>240015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fill>
        <patternFill patternType="none">
          <bgColor indexed="65"/>
        </patternFill>
      </fill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" sId="1" odxf="1" s="1" dxf="1" numFmtId="4">
    <nc r="E16">
      <v>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fill>
        <patternFill patternType="none">
          <bgColor indexed="65"/>
        </patternFill>
      </fill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" sId="1" odxf="1" s="1" dxf="1">
    <nc r="E17">
      <f>+E18+E19+E20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" sId="1" odxf="1" s="1" dxf="1" numFmtId="4">
    <nc r="E18">
      <v>3528564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" sId="1" odxf="1" s="1" dxf="1" numFmtId="4">
    <nc r="E19">
      <v>1164778.3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" sId="1" odxf="1" s="1" dxf="1" numFmtId="4">
    <nc r="E20">
      <v>672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" sId="1" odxf="1" s="1" dxf="1">
    <nc r="E21">
      <f>E22+E23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" sId="1" odxf="1" s="1" dxf="1" numFmtId="4">
    <nc r="E22">
      <v>2737023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" sId="1" odxf="1" s="1" dxf="1" numFmtId="4">
    <nc r="E23">
      <v>84808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" sId="1" odxf="1" s="1" dxf="1" numFmtId="4">
    <nc r="E24">
      <v>90607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="1" sqref="E25" start="0" length="0">
    <dxf>
      <font>
        <sz val="12"/>
        <color auto="1"/>
        <name val="Times New Roman"/>
        <scheme val="none"/>
      </font>
      <numFmt numFmtId="167" formatCode="[&gt;=0.005]#,##0.0;[&lt;=-0.005]\-#,##0.0;#,##0.0"/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1" sId="1" odxf="1" s="1" dxf="1" numFmtId="4">
    <nc r="E26">
      <v>464001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" sId="1" odxf="1" s="1" dxf="1" numFmtId="4">
    <nc r="E27">
      <v>1236903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" sId="1" odxf="1" s="1" dxf="1" numFmtId="4">
    <nc r="E28">
      <v>196091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" sId="1" odxf="1" s="1" dxf="1" numFmtId="4">
    <nc r="E29">
      <v>167650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" sId="1" odxf="1" s="1" dxf="1" numFmtId="4">
    <nc r="E30">
      <v>7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" sId="1" odxf="1" s="1" dxf="1" numFmtId="4">
    <nc r="E31">
      <v>688042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" sId="1" odxf="1" s="1" dxf="1" numFmtId="4">
    <nc r="E32">
      <v>10000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scheme val="none"/>
      </font>
      <numFmt numFmtId="167" formatCode="[&gt;=0.005]#,##0.0;[&lt;=-0.005]\-#,##0.0;#,##0.0"/>
      <alignment horizontal="righ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" sId="1" odxf="1" dxf="1">
    <nc r="E33">
      <f>E34+E42+E43+E44+E45+E46-0.1</f>
    </nc>
    <odxf>
      <numFmt numFmtId="0" formatCode="General"/>
      <alignment horizontal="general" vertical="bottom" readingOrder="0"/>
      <border outline="0">
        <left/>
        <right/>
        <top/>
        <bottom/>
      </border>
    </odxf>
    <ndxf>
      <numFmt numFmtId="167" formatCode="[&gt;=0.005]#,##0.0;[&lt;=-0.005]\-#,##0.0;#,##0.0"/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" sId="1" odxf="1" dxf="1">
    <nc r="E34">
      <f>E35+E39+E40+E41</f>
    </nc>
    <odxf>
      <numFmt numFmtId="0" formatCode="General"/>
      <alignment horizontal="general" vertical="bottom" readingOrder="0"/>
      <border outline="0">
        <left/>
        <right/>
        <top/>
        <bottom/>
      </border>
    </odxf>
    <ndxf>
      <numFmt numFmtId="167" formatCode="[&gt;=0.005]#,##0.0;[&lt;=-0.005]\-#,##0.0;#,##0.0"/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" sId="1" odxf="1" s="1" dxf="1" numFmtId="4">
    <nc r="E35">
      <v>8250677.7999999998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" sId="1" odxf="1" s="1" dxf="1" numFmtId="4">
    <nc r="E36">
      <v>7163796.9000000004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" sId="1" odxf="1" s="1" dxf="1" numFmtId="4">
    <nc r="E37">
      <v>943515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" sId="1" odxf="1" s="1" dxf="1" numFmtId="4">
    <nc r="E38">
      <v>143365.9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" sId="1" odxf="1" s="1" dxf="1" numFmtId="4">
    <nc r="E39">
      <v>11357111.5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" sId="1" odxf="1" s="1" dxf="1" numFmtId="4">
    <nc r="E40">
      <v>2779819.9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" sId="1" odxf="1" s="1" dxf="1" numFmtId="4">
    <nc r="E41">
      <v>1216531.8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" sId="1" odxf="1" s="1" dxf="1" numFmtId="4">
    <nc r="E42">
      <v>5254776.2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" sId="1" odxf="1" s="1" dxf="1" numFmtId="4">
    <nc r="E43">
      <v>4975.8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" sId="1" odxf="1" s="1" dxf="1" numFmtId="4">
    <nc r="E44">
      <v>2041.4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" sId="1" odxf="1" s="1" dxf="1" numFmtId="4">
    <nc r="E45">
      <v>100000</v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 val="0"/>
        <sz val="12"/>
        <color auto="1"/>
        <name val="Times New Roman"/>
        <scheme val="none"/>
      </font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" sId="1" odxf="1" s="1" dxf="1" numFmtId="4">
    <nc r="E46">
      <v>0</v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 val="0"/>
        <sz val="12"/>
        <color auto="1"/>
        <name val="Times New Roman"/>
        <scheme val="none"/>
      </font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" sId="1">
    <nc r="E3" t="inlineStr">
      <is>
        <t>план на 01.10.2025</t>
      </is>
    </nc>
  </rcc>
  <rcc rId="213" sId="1" numFmtId="4">
    <oc r="C46">
      <v>0</v>
    </oc>
    <nc r="C46">
      <f>B46</f>
    </nc>
  </rcc>
  <rcc rId="214" sId="1" numFmtId="4">
    <oc r="C45">
      <v>100000</v>
    </oc>
    <nc r="C45">
      <f>B45</f>
    </nc>
  </rcc>
  <rcc rId="215" sId="1">
    <oc r="C44">
      <v>2041.4</v>
    </oc>
    <nc r="C44">
      <f>B44</f>
    </nc>
  </rcc>
  <rcc rId="216" sId="1" numFmtId="4">
    <oc r="C75">
      <v>12801.7</v>
    </oc>
    <nc r="C75">
      <f>12801.7-355035.7</f>
    </nc>
  </rcc>
  <rrc rId="217" sId="1" ref="C1:C1048576" action="insertCol">
    <undo index="0" exp="area" ref3D="1" dr="$A$3:$XFD$3" dn="Заголовки_для_печати" sId="1"/>
    <undo index="0" exp="area" ref3D="1" dr="$A$3:$XFD$3" dn="Z_BD55AB36_084D_4C26_BAB2_482C24A270C8_.wvu.PrintTitles" sId="1"/>
    <undo index="0" exp="area" ref3D="1" dr="$A$3:$XFD$3" dn="Z_0E91F95C_B82B_4A7A_9432_6E8B0967BE54_.wvu.PrintTitles" sId="1"/>
  </rrc>
  <rcc rId="218" sId="1" odxf="1" dxf="1">
    <nc r="C3" t="inlineStr">
      <is>
        <t>закон</t>
      </is>
    </nc>
    <odxf>
      <font>
        <b val="0"/>
        <sz val="12"/>
      </font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odxf>
    <ndxf>
      <font>
        <b/>
        <sz val="12"/>
      </font>
      <border outline="0">
        <left/>
        <right/>
        <top/>
        <bottom/>
      </border>
    </ndxf>
  </rcc>
  <rrc rId="219" sId="1" ref="D1:D1048576" action="insertCol">
    <undo index="0" exp="area" ref3D="1" dr="$A$3:$XFD$3" dn="Заголовки_для_печати" sId="1"/>
    <undo index="0" exp="area" ref3D="1" dr="$A$3:$XFD$3" dn="Z_BD55AB36_084D_4C26_BAB2_482C24A270C8_.wvu.PrintTitles" sId="1"/>
    <undo index="0" exp="area" ref3D="1" dr="$A$3:$XFD$3" dn="Z_0E91F95C_B82B_4A7A_9432_6E8B0967BE54_.wvu.PrintTitles" sId="1"/>
  </rrc>
  <rfmt sheetId="1" sqref="D2" start="0" length="0">
    <dxf>
      <font>
        <b val="0"/>
        <sz val="12"/>
      </font>
    </dxf>
  </rfmt>
  <rfmt sheetId="1" s="1" sqref="D4" start="0" length="0">
    <dxf>
      <font>
        <sz val="12"/>
        <color auto="1"/>
        <name val="Times New Roman"/>
        <scheme val="none"/>
      </font>
      <numFmt numFmtId="0" formatCode="General"/>
      <alignment vertical="center" wrapText="1" readingOrder="0"/>
      <border outline="0">
        <left/>
        <right/>
        <top/>
        <bottom/>
      </border>
    </dxf>
  </rfmt>
  <rcc rId="220" sId="1" odxf="1" dxf="1">
    <nc r="D5">
      <f>D6+D9+D13+D17+D21+D24+D25+D26+D27+D28+D29+D30+D31+D32</f>
    </nc>
    <odxf/>
    <ndxf/>
  </rcc>
  <rcc rId="221" sId="1" odxf="1" dxf="1">
    <nc r="D6">
      <f>+D7+D8</f>
    </nc>
    <odxf/>
    <ndxf/>
  </rcc>
  <rcc rId="222" sId="1" odxf="1" dxf="1" numFmtId="4">
    <nc r="D7">
      <v>12098743.4</v>
    </nc>
    <odxf/>
    <ndxf/>
  </rcc>
  <rcc rId="223" sId="1" odxf="1" dxf="1" numFmtId="4">
    <nc r="D8">
      <v>20098845</v>
    </nc>
    <odxf/>
    <ndxf/>
  </rcc>
  <rcc rId="224" sId="1" odxf="1" dxf="1">
    <nc r="D9">
      <f>+D10</f>
    </nc>
    <odxf/>
    <ndxf/>
  </rcc>
  <rcc rId="225" sId="1" odxf="1" dxf="1" numFmtId="4">
    <nc r="D10">
      <v>6852354.4000000004</v>
    </nc>
    <odxf/>
    <ndxf/>
  </rcc>
  <rfmt sheetId="1" sqref="D11" start="0" length="0">
    <dxf/>
  </rfmt>
  <rfmt sheetId="1" sqref="D12" start="0" length="0">
    <dxf/>
  </rfmt>
  <rfmt sheetId="1" sqref="D13" start="0" length="0">
    <dxf/>
  </rfmt>
  <rcc rId="226" sId="1" odxf="1" dxf="1" numFmtId="4">
    <nc r="D14">
      <v>4281193</v>
    </nc>
    <odxf/>
    <ndxf/>
  </rcc>
  <rcc rId="227" sId="1" odxf="1" dxf="1" numFmtId="4">
    <nc r="D15">
      <v>240015</v>
    </nc>
    <odxf/>
    <ndxf/>
  </rcc>
  <rcc rId="228" sId="1" odxf="1" dxf="1" numFmtId="4">
    <nc r="D16">
      <v>0</v>
    </nc>
    <odxf/>
    <ndxf/>
  </rcc>
  <rcc rId="229" sId="1" odxf="1" dxf="1">
    <nc r="D17">
      <f>+D18+D19+D20</f>
    </nc>
    <odxf/>
    <ndxf/>
  </rcc>
  <rcc rId="230" sId="1" odxf="1" dxf="1" numFmtId="4">
    <nc r="D18">
      <v>3528564</v>
    </nc>
    <odxf/>
    <ndxf/>
  </rcc>
  <rcc rId="231" sId="1" odxf="1" dxf="1" numFmtId="4">
    <nc r="D19">
      <v>1164778.3</v>
    </nc>
    <odxf/>
    <ndxf/>
  </rcc>
  <rcc rId="232" sId="1" odxf="1" dxf="1" numFmtId="4">
    <nc r="D20">
      <v>672</v>
    </nc>
    <odxf/>
    <ndxf/>
  </rcc>
  <rcc rId="233" sId="1" odxf="1" dxf="1">
    <nc r="D21">
      <f>D22+D23</f>
    </nc>
    <odxf/>
    <ndxf/>
  </rcc>
  <rcc rId="234" sId="1" odxf="1" dxf="1" numFmtId="4">
    <nc r="D22">
      <v>2737023</v>
    </nc>
    <odxf/>
    <ndxf/>
  </rcc>
  <rcc rId="235" sId="1" odxf="1" dxf="1" numFmtId="4">
    <nc r="D23">
      <v>84808</v>
    </nc>
    <odxf/>
    <ndxf/>
  </rcc>
  <rcc rId="236" sId="1" odxf="1" dxf="1" numFmtId="4">
    <nc r="D24">
      <v>90607</v>
    </nc>
    <odxf/>
    <ndxf/>
  </rcc>
  <rfmt sheetId="1" sqref="D25" start="0" length="0">
    <dxf/>
  </rfmt>
  <rcc rId="237" sId="1" odxf="1" dxf="1" numFmtId="4">
    <nc r="D26">
      <v>464001</v>
    </nc>
    <odxf/>
    <ndxf/>
  </rcc>
  <rcc rId="238" sId="1" odxf="1" dxf="1" numFmtId="4">
    <nc r="D27">
      <v>1236903</v>
    </nc>
    <odxf/>
    <ndxf/>
  </rcc>
  <rcc rId="239" sId="1" odxf="1" dxf="1" numFmtId="4">
    <nc r="D28">
      <v>196091</v>
    </nc>
    <odxf/>
    <ndxf/>
  </rcc>
  <rcc rId="240" sId="1" odxf="1" dxf="1" numFmtId="4">
    <nc r="D29">
      <v>167650</v>
    </nc>
    <odxf/>
    <ndxf/>
  </rcc>
  <rcc rId="241" sId="1" odxf="1" dxf="1" numFmtId="4">
    <nc r="D30">
      <v>7</v>
    </nc>
    <odxf/>
    <ndxf/>
  </rcc>
  <rcc rId="242" sId="1" odxf="1" dxf="1" numFmtId="4">
    <nc r="D31">
      <v>688042</v>
    </nc>
    <odxf/>
    <ndxf/>
  </rcc>
  <rcc rId="243" sId="1" odxf="1" dxf="1" numFmtId="4">
    <nc r="D32">
      <v>10000</v>
    </nc>
    <odxf/>
    <ndxf/>
  </rcc>
  <rcc rId="244" sId="1" odxf="1" dxf="1">
    <nc r="D33">
      <f>D34+D42+D43+D44+D45+D46-0.1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245" sId="1" odxf="1" dxf="1">
    <nc r="D34">
      <f>D35+D39+D40+D41</f>
    </nc>
    <odxf/>
    <ndxf/>
  </rcc>
  <rcc rId="246" sId="1" odxf="1" dxf="1" numFmtId="4">
    <nc r="D35">
      <v>8250677.7999999998</v>
    </nc>
    <odxf/>
    <ndxf/>
  </rcc>
  <rcc rId="247" sId="1" odxf="1" dxf="1" numFmtId="4">
    <nc r="D36">
      <v>7163796.9000000004</v>
    </nc>
    <odxf/>
    <ndxf/>
  </rcc>
  <rcc rId="248" sId="1" odxf="1" dxf="1" numFmtId="4">
    <nc r="D37">
      <v>943515</v>
    </nc>
    <odxf/>
    <ndxf/>
  </rcc>
  <rcc rId="249" sId="1" odxf="1" dxf="1" numFmtId="4">
    <nc r="D38">
      <v>143365.9</v>
    </nc>
    <odxf/>
    <ndxf/>
  </rcc>
  <rcc rId="250" sId="1" odxf="1" dxf="1" numFmtId="4">
    <nc r="D39">
      <v>11357111.5</v>
    </nc>
    <odxf/>
    <ndxf/>
  </rcc>
  <rcc rId="251" sId="1" odxf="1" dxf="1" numFmtId="4">
    <nc r="D40">
      <v>2779819.9</v>
    </nc>
    <odxf/>
    <ndxf/>
  </rcc>
  <rcc rId="252" sId="1" odxf="1" dxf="1" numFmtId="4">
    <nc r="D41">
      <v>1216531.8</v>
    </nc>
    <odxf/>
    <ndxf/>
  </rcc>
  <rcc rId="253" sId="1" odxf="1" dxf="1" numFmtId="4">
    <nc r="D42">
      <v>5254776.2</v>
    </nc>
    <odxf/>
    <ndxf/>
  </rcc>
  <rcc rId="254" sId="1" odxf="1" dxf="1" numFmtId="4">
    <nc r="D43">
      <v>4975.8</v>
    </nc>
    <odxf/>
    <ndxf/>
  </rcc>
  <rcc rId="255" sId="1" odxf="1" dxf="1" numFmtId="4">
    <nc r="D44">
      <v>2041.4</v>
    </nc>
    <odxf/>
    <ndxf/>
  </rcc>
  <rcc rId="256" sId="1" odxf="1" dxf="1" numFmtId="4">
    <nc r="D45">
      <v>100000</v>
    </nc>
    <odxf/>
    <ndxf/>
  </rcc>
  <rcc rId="257" sId="1" odxf="1" dxf="1" numFmtId="4">
    <nc r="D46">
      <v>0</v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fmt sheetId="1" sqref="D47" start="0" length="0">
    <dxf>
      <numFmt numFmtId="0" formatCode="General"/>
      <alignment horizontal="general" vertical="bottom" wrapText="0" readingOrder="0"/>
      <border outline="0">
        <left/>
        <right/>
        <top/>
        <bottom/>
      </border>
    </dxf>
  </rfmt>
  <rfmt sheetId="1" sqref="D48" start="0" length="0">
    <dxf>
      <font>
        <b/>
        <sz val="12"/>
      </font>
      <numFmt numFmtId="0" formatCode="General"/>
      <alignment horizontal="general" vertical="bottom" readingOrder="0"/>
      <border outline="0">
        <left/>
        <right/>
        <top/>
        <bottom/>
      </border>
    </dxf>
  </rfmt>
  <rfmt sheetId="1" s="1" sqref="D49" start="0" length="0">
    <dxf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dxf>
  </rfmt>
  <rfmt sheetId="1" s="1" sqref="D50" start="0" length="0">
    <dxf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dxf>
  </rfmt>
  <rfmt sheetId="1" s="1" sqref="D51" start="0" length="0">
    <dxf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dxf>
  </rfmt>
  <rfmt sheetId="1" s="1" sqref="D52" start="0" length="0">
    <dxf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dxf>
  </rfmt>
  <rfmt sheetId="1" s="1" sqref="D53" start="0" length="0">
    <dxf>
      <numFmt numFmtId="0" formatCode="General"/>
      <alignment horizontal="general" vertical="bottom" wrapText="0" readingOrder="0"/>
      <border outline="0">
        <left/>
        <right/>
        <top/>
        <bottom/>
      </border>
    </dxf>
  </rfmt>
  <rfmt sheetId="1" s="1" sqref="D54" start="0" length="0">
    <dxf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dxf>
  </rfmt>
  <rfmt sheetId="1" s="1" sqref="D55" start="0" length="0">
    <dxf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dxf>
  </rfmt>
  <rfmt sheetId="1" s="1" sqref="D56" start="0" length="0">
    <dxf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dxf>
  </rfmt>
  <rfmt sheetId="1" s="1" sqref="D57" start="0" length="0">
    <dxf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dxf>
  </rfmt>
  <rfmt sheetId="1" s="1" sqref="D58" start="0" length="0">
    <dxf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dxf>
  </rfmt>
  <rfmt sheetId="1" s="1" sqref="D59" start="0" length="0">
    <dxf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dxf>
  </rfmt>
  <rfmt sheetId="1" s="1" sqref="D60" start="0" length="0">
    <dxf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dxf>
  </rfmt>
  <rfmt sheetId="1" s="1" sqref="D61" start="0" length="0">
    <dxf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dxf>
  </rfmt>
  <rfmt sheetId="1" s="1" sqref="D62" start="0" length="0">
    <dxf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dxf>
  </rfmt>
  <rfmt sheetId="1" s="1" sqref="D63" start="0" length="0">
    <dxf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dxf>
  </rfmt>
  <rfmt sheetId="1" sqref="D64" start="0" length="0">
    <dxf>
      <font>
        <b val="0"/>
        <sz val="12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dxf>
  </rfmt>
  <rfmt sheetId="1" sqref="D65" start="0" length="0">
    <dxf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dxf>
  </rfmt>
  <rfmt sheetId="1" sqref="D66" start="0" length="0">
    <dxf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dxf>
  </rfmt>
  <rfmt sheetId="1" s="1" sqref="D67" start="0" length="0">
    <dxf>
      <numFmt numFmtId="0" formatCode="General"/>
      <alignment horizontal="general" vertical="bottom" wrapText="0" readingOrder="0"/>
      <border outline="0">
        <left/>
        <right/>
        <top/>
        <bottom/>
      </border>
    </dxf>
  </rfmt>
  <rfmt sheetId="1" s="1" sqref="D68" start="0" length="0">
    <dxf>
      <numFmt numFmtId="0" formatCode="General"/>
      <alignment horizontal="general" vertical="bottom" wrapText="0" readingOrder="0"/>
      <border outline="0">
        <left/>
        <right/>
        <top/>
        <bottom/>
      </border>
    </dxf>
  </rfmt>
  <rfmt sheetId="1" s="1" sqref="D69" start="0" length="0">
    <dxf>
      <numFmt numFmtId="0" formatCode="General"/>
      <alignment horizontal="general" vertical="bottom" wrapText="0" readingOrder="0"/>
      <border outline="0">
        <left/>
        <right/>
        <top/>
        <bottom/>
      </border>
    </dxf>
  </rfmt>
  <rfmt sheetId="1" s="1" sqref="D70" start="0" length="0">
    <dxf>
      <numFmt numFmtId="0" formatCode="General"/>
      <alignment horizontal="general" vertical="bottom" wrapText="0" readingOrder="0"/>
      <border outline="0">
        <left/>
        <right/>
        <top/>
        <bottom/>
      </border>
    </dxf>
  </rfmt>
  <rfmt sheetId="1" s="1" sqref="D71" start="0" length="0">
    <dxf>
      <numFmt numFmtId="0" formatCode="General"/>
      <alignment horizontal="general" vertical="bottom" wrapText="0" readingOrder="0"/>
      <border outline="0">
        <left/>
        <right/>
        <top/>
        <bottom/>
      </border>
    </dxf>
  </rfmt>
  <rfmt sheetId="1" s="1" sqref="D72" start="0" length="0">
    <dxf>
      <numFmt numFmtId="0" formatCode="General"/>
      <alignment horizontal="general" vertical="bottom" wrapText="0" readingOrder="0"/>
      <border outline="0">
        <left/>
        <right/>
        <top/>
        <bottom/>
      </border>
    </dxf>
  </rfmt>
  <rfmt sheetId="1" s="1" sqref="D73" start="0" length="0">
    <dxf>
      <numFmt numFmtId="0" formatCode="General"/>
      <alignment horizontal="general" vertical="bottom" wrapText="0" readingOrder="0"/>
      <border outline="0">
        <left/>
        <right/>
        <top/>
        <bottom/>
      </border>
    </dxf>
  </rfmt>
  <rfmt sheetId="1" s="1" sqref="D74" start="0" length="0">
    <dxf>
      <numFmt numFmtId="0" formatCode="General"/>
      <alignment horizontal="general" vertical="bottom" wrapText="0" readingOrder="0"/>
      <border outline="0">
        <left/>
        <right/>
        <top/>
        <bottom/>
      </border>
    </dxf>
  </rfmt>
  <rfmt sheetId="1" s="1" sqref="D75" start="0" length="0">
    <dxf>
      <numFmt numFmtId="0" formatCode="General"/>
      <alignment horizontal="general" vertical="bottom" wrapText="0" readingOrder="0"/>
      <border outline="0">
        <left/>
        <right/>
        <top/>
        <bottom/>
      </border>
    </dxf>
  </rfmt>
  <rfmt sheetId="1" sqref="D77" start="0" length="0">
    <dxf>
      <alignment horizontal="general" vertical="bottom" wrapText="0" readingOrder="0"/>
    </dxf>
  </rfmt>
  <rfmt sheetId="1" sqref="D78" start="0" length="0">
    <dxf>
      <alignment vertical="bottom" wrapText="0" readingOrder="0"/>
    </dxf>
  </rfmt>
  <rfmt sheetId="1" sqref="D79" start="0" length="0">
    <dxf>
      <alignment vertical="bottom" wrapText="0" readingOrder="0"/>
    </dxf>
  </rfmt>
  <rfmt sheetId="1" sqref="D80" start="0" length="0">
    <dxf>
      <alignment horizontal="general" vertical="bottom" wrapText="0" readingOrder="0"/>
    </dxf>
  </rfmt>
  <rfmt sheetId="1" sqref="D81" start="0" length="0">
    <dxf>
      <alignment vertical="bottom" wrapText="0" readingOrder="0"/>
    </dxf>
  </rfmt>
  <rfmt sheetId="1" sqref="D82" start="0" length="0">
    <dxf>
      <alignment vertical="bottom" wrapText="0" readingOrder="0"/>
    </dxf>
  </rfmt>
  <rfmt sheetId="1" sqref="D83" start="0" length="0">
    <dxf>
      <alignment vertical="bottom" wrapText="0" readingOrder="0"/>
    </dxf>
  </rfmt>
  <rfmt sheetId="1" sqref="D84" start="0" length="0">
    <dxf>
      <alignment vertical="bottom" wrapText="0" readingOrder="0"/>
    </dxf>
  </rfmt>
  <rfmt sheetId="1" sqref="D85" start="0" length="0">
    <dxf>
      <alignment vertical="bottom" wrapText="0" readingOrder="0"/>
    </dxf>
  </rfmt>
  <rfmt sheetId="1" sqref="D86" start="0" length="0">
    <dxf>
      <alignment horizontal="general" vertical="bottom" wrapText="0" readingOrder="0"/>
    </dxf>
  </rfmt>
  <rfmt sheetId="1" sqref="D87" start="0" length="0">
    <dxf>
      <font>
        <sz val="12"/>
        <color indexed="9"/>
      </font>
      <alignment vertical="bottom" wrapText="0" readingOrder="0"/>
    </dxf>
  </rfmt>
  <rfmt sheetId="1" sqref="D1:D1048576" start="0" length="0">
    <dxf>
      <alignment vertical="bottom" wrapText="0" readingOrder="0"/>
    </dxf>
  </rfmt>
  <rcc rId="258" sId="1">
    <nc r="D3" t="inlineStr">
      <is>
        <t>план на 01.10.2025 (СБР)</t>
      </is>
    </nc>
  </rcc>
  <rfmt sheetId="1" sqref="C3:D3" start="0" length="0">
    <dxf>
      <border>
        <top style="thin">
          <color indexed="64"/>
        </top>
      </border>
    </dxf>
  </rfmt>
  <rfmt sheetId="1" sqref="C3:D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259" sId="1" odxf="1" dxf="1">
    <nc r="C5">
      <f>C6+C9+C13+C17+C21+C24+C25+C26+C27+C28+C29+C30+C31+C32</f>
    </nc>
    <odxf/>
    <ndxf/>
  </rcc>
  <rcc rId="260" sId="1" odxf="1" dxf="1">
    <nc r="C6">
      <f>+C7+C8</f>
    </nc>
    <odxf/>
    <ndxf/>
  </rcc>
  <rcc rId="261" sId="1" odxf="1" dxf="1" numFmtId="4">
    <nc r="C7">
      <v>12098743.4</v>
    </nc>
    <odxf/>
    <ndxf/>
  </rcc>
  <rcc rId="262" sId="1" odxf="1" dxf="1" numFmtId="4">
    <nc r="C8">
      <v>20098845</v>
    </nc>
    <odxf/>
    <ndxf/>
  </rcc>
  <rcc rId="263" sId="1" odxf="1" dxf="1">
    <nc r="C9">
      <f>+C10</f>
    </nc>
    <odxf/>
    <ndxf/>
  </rcc>
  <rcc rId="264" sId="1" odxf="1" dxf="1" numFmtId="4">
    <nc r="C10">
      <v>6852354.4000000004</v>
    </nc>
    <odxf/>
    <ndxf/>
  </rcc>
  <rfmt sheetId="1" sqref="C11" start="0" length="0">
    <dxf/>
  </rfmt>
  <rfmt sheetId="1" sqref="C12" start="0" length="0">
    <dxf/>
  </rfmt>
  <rfmt sheetId="1" sqref="C13" start="0" length="0">
    <dxf/>
  </rfmt>
  <rcc rId="265" sId="1" odxf="1" dxf="1" numFmtId="4">
    <nc r="C14">
      <v>4281193</v>
    </nc>
    <odxf/>
    <ndxf/>
  </rcc>
  <rcc rId="266" sId="1" odxf="1" dxf="1" numFmtId="4">
    <nc r="C15">
      <v>240015</v>
    </nc>
    <odxf/>
    <ndxf/>
  </rcc>
  <rcc rId="267" sId="1" odxf="1" dxf="1" numFmtId="4">
    <nc r="C16">
      <v>0</v>
    </nc>
    <odxf/>
    <ndxf/>
  </rcc>
  <rcc rId="268" sId="1" odxf="1" dxf="1">
    <nc r="C17">
      <f>+C18+C19+C20</f>
    </nc>
    <odxf/>
    <ndxf/>
  </rcc>
  <rcc rId="269" sId="1" odxf="1" dxf="1" numFmtId="4">
    <nc r="C18">
      <v>3528564</v>
    </nc>
    <odxf/>
    <ndxf/>
  </rcc>
  <rcc rId="270" sId="1" odxf="1" dxf="1" numFmtId="4">
    <nc r="C19">
      <v>1164778.3</v>
    </nc>
    <odxf/>
    <ndxf/>
  </rcc>
  <rcc rId="271" sId="1" odxf="1" dxf="1" numFmtId="4">
    <nc r="C20">
      <v>672</v>
    </nc>
    <odxf/>
    <ndxf/>
  </rcc>
  <rcc rId="272" sId="1" odxf="1" dxf="1">
    <nc r="C21">
      <f>C22+C23</f>
    </nc>
    <odxf/>
    <ndxf/>
  </rcc>
  <rcc rId="273" sId="1" odxf="1" dxf="1" numFmtId="4">
    <nc r="C22">
      <v>2737023</v>
    </nc>
    <odxf/>
    <ndxf/>
  </rcc>
  <rcc rId="274" sId="1" odxf="1" dxf="1" numFmtId="4">
    <nc r="C23">
      <v>84808</v>
    </nc>
    <odxf/>
    <ndxf/>
  </rcc>
  <rcc rId="275" sId="1" odxf="1" dxf="1" numFmtId="4">
    <nc r="C24">
      <v>90607</v>
    </nc>
    <odxf/>
    <ndxf/>
  </rcc>
  <rfmt sheetId="1" sqref="C25" start="0" length="0">
    <dxf/>
  </rfmt>
  <rcc rId="276" sId="1" odxf="1" dxf="1" numFmtId="4">
    <nc r="C26">
      <v>464001</v>
    </nc>
    <odxf/>
    <ndxf/>
  </rcc>
  <rcc rId="277" sId="1" odxf="1" dxf="1" numFmtId="4">
    <nc r="C27">
      <v>1236903</v>
    </nc>
    <odxf/>
    <ndxf/>
  </rcc>
  <rcc rId="278" sId="1" odxf="1" dxf="1" numFmtId="4">
    <nc r="C28">
      <v>196091</v>
    </nc>
    <odxf/>
    <ndxf/>
  </rcc>
  <rcc rId="279" sId="1" odxf="1" dxf="1" numFmtId="4">
    <nc r="C29">
      <v>167650</v>
    </nc>
    <odxf/>
    <ndxf/>
  </rcc>
  <rcc rId="280" sId="1" odxf="1" dxf="1" numFmtId="4">
    <nc r="C30">
      <v>7</v>
    </nc>
    <odxf/>
    <ndxf/>
  </rcc>
  <rcc rId="281" sId="1" odxf="1" dxf="1" numFmtId="4">
    <nc r="C31">
      <v>688042</v>
    </nc>
    <odxf/>
    <ndxf/>
  </rcc>
  <rcc rId="282" sId="1" odxf="1" dxf="1" numFmtId="4">
    <nc r="C32">
      <v>10000</v>
    </nc>
    <odxf/>
    <ndxf/>
  </rcc>
  <rcc rId="283" sId="1" odxf="1" dxf="1">
    <nc r="C33">
      <f>C34+C42+C43+C44+C45+C46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284" sId="1" odxf="1" dxf="1">
    <nc r="C34">
      <f>C35+C39+C40+C41</f>
    </nc>
    <odxf/>
    <ndxf/>
  </rcc>
  <rcc rId="285" sId="1" odxf="1" dxf="1" numFmtId="4">
    <nc r="C35">
      <v>8107311.9000000004</v>
    </nc>
    <odxf/>
    <ndxf/>
  </rcc>
  <rfmt sheetId="1" sqref="C36" start="0" length="0">
    <dxf/>
  </rfmt>
  <rfmt sheetId="1" sqref="C37" start="0" length="0">
    <dxf/>
  </rfmt>
  <rfmt sheetId="1" sqref="C38" start="0" length="0">
    <dxf/>
  </rfmt>
  <rcc rId="286" sId="1" odxf="1" dxf="1" numFmtId="4">
    <nc r="C39">
      <v>13693225.4</v>
    </nc>
    <odxf/>
    <ndxf/>
  </rcc>
  <rcc rId="287" sId="1" odxf="1" dxf="1" numFmtId="4">
    <nc r="C40">
      <v>2460771.6</v>
    </nc>
    <odxf/>
    <ndxf/>
  </rcc>
  <rcc rId="288" sId="1" odxf="1" dxf="1" numFmtId="4">
    <nc r="C41">
      <v>945564.2</v>
    </nc>
    <odxf/>
    <ndxf/>
  </rcc>
  <rcc rId="289" sId="1" odxf="1" dxf="1" numFmtId="4">
    <nc r="C42">
      <v>0</v>
    </nc>
    <odxf/>
    <ndxf/>
  </rcc>
  <rcc rId="290" sId="1" odxf="1" dxf="1" numFmtId="4">
    <nc r="C43">
      <v>0</v>
    </nc>
    <odxf/>
    <ndxf/>
  </rcc>
  <rcc rId="291" sId="1" odxf="1" dxf="1" numFmtId="4">
    <nc r="C44">
      <v>0</v>
    </nc>
    <odxf/>
    <ndxf/>
  </rcc>
  <rcc rId="292" sId="1" odxf="1" dxf="1" numFmtId="4">
    <nc r="C45">
      <v>100000</v>
    </nc>
    <odxf/>
    <ndxf/>
  </rcc>
  <rcc rId="293" sId="1" odxf="1" dxf="1" numFmtId="4">
    <nc r="C46">
      <v>0</v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294" sId="1" odxf="1" dxf="1">
    <nc r="D47">
      <f>D33+D5</f>
    </nc>
    <ndxf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D48" start="0" length="0">
    <dxf>
      <font>
        <b val="0"/>
        <sz val="12"/>
      </font>
      <numFmt numFmtId="165" formatCode="#,##0.0"/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5" sId="1" odxf="1" s="1" dxf="1" numFmtId="4">
    <nc r="D49">
      <v>4857330.0999999996</v>
    </nc>
    <ndxf>
      <numFmt numFmtId="167" formatCode="[&gt;=0.005]#,##0.0;[&lt;=-0.005]\-#,##0.0;#,##0.0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6" sId="1" odxf="1" s="1" dxf="1" numFmtId="4">
    <nc r="D50">
      <v>30159.4</v>
    </nc>
    <ndxf>
      <numFmt numFmtId="167" formatCode="[&gt;=0.005]#,##0.0;[&lt;=-0.005]\-#,##0.0;#,##0.0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7" sId="1" odxf="1" s="1" dxf="1" numFmtId="4">
    <nc r="D51">
      <v>1207107</v>
    </nc>
    <ndxf>
      <numFmt numFmtId="167" formatCode="[&gt;=0.005]#,##0.0;[&lt;=-0.005]\-#,##0.0;#,##0.0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" sId="1" odxf="1" s="1" dxf="1" numFmtId="4">
    <nc r="D52">
      <v>15724709.199999999</v>
    </nc>
    <ndxf>
      <numFmt numFmtId="167" formatCode="[&gt;=0.005]#,##0.0;[&lt;=-0.005]\-#,##0.0;#,##0.0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9" sId="1" odxf="1" s="1" dxf="1" numFmtId="4">
    <nc r="D53">
      <v>9255041.0999999996</v>
    </nc>
    <ndxf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0" sId="1" odxf="1" s="1" dxf="1" numFmtId="4">
    <nc r="D54">
      <v>7935220.2999999998</v>
    </nc>
    <ndxf>
      <numFmt numFmtId="167" formatCode="[&gt;=0.005]#,##0.0;[&lt;=-0.005]\-#,##0.0;#,##0.0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1" sId="1" odxf="1" s="1" dxf="1" numFmtId="4">
    <nc r="D55">
      <v>88453.7</v>
    </nc>
    <ndxf>
      <numFmt numFmtId="167" formatCode="[&gt;=0.005]#,##0.0;[&lt;=-0.005]\-#,##0.0;#,##0.0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2" sId="1" odxf="1" s="1" dxf="1" numFmtId="4">
    <nc r="D56">
      <v>19277090.699999999</v>
    </nc>
    <ndxf>
      <numFmt numFmtId="167" formatCode="[&gt;=0.005]#,##0.0;[&lt;=-0.005]\-#,##0.0;#,##0.0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3" sId="1" odxf="1" s="1" dxf="1" numFmtId="4">
    <nc r="D57">
      <v>2354659.9</v>
    </nc>
    <ndxf>
      <numFmt numFmtId="167" formatCode="[&gt;=0.005]#,##0.0;[&lt;=-0.005]\-#,##0.0;#,##0.0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4" sId="1" odxf="1" s="1" dxf="1" numFmtId="4">
    <nc r="D58">
      <v>7183649.9000000004</v>
    </nc>
    <ndxf>
      <numFmt numFmtId="167" formatCode="[&gt;=0.005]#,##0.0;[&lt;=-0.005]\-#,##0.0;#,##0.0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5" sId="1" odxf="1" s="1" dxf="1" numFmtId="4">
    <nc r="D59">
      <v>20210227.899999999</v>
    </nc>
    <ndxf>
      <numFmt numFmtId="167" formatCode="[&gt;=0.005]#,##0.0;[&lt;=-0.005]\-#,##0.0;#,##0.0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6" sId="1" odxf="1" s="1" dxf="1" numFmtId="4">
    <nc r="D60">
      <v>885212.8</v>
    </nc>
    <ndxf>
      <numFmt numFmtId="167" formatCode="[&gt;=0.005]#,##0.0;[&lt;=-0.005]\-#,##0.0;#,##0.0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7" sId="1" odxf="1" s="1" dxf="1" numFmtId="4">
    <nc r="D61">
      <v>291592.59999999998</v>
    </nc>
    <ndxf>
      <numFmt numFmtId="167" formatCode="[&gt;=0.005]#,##0.0;[&lt;=-0.005]\-#,##0.0;#,##0.0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8" sId="1" odxf="1" s="1" dxf="1" numFmtId="4">
    <nc r="D62">
      <v>2200000</v>
    </nc>
    <ndxf>
      <numFmt numFmtId="167" formatCode="[&gt;=0.005]#,##0.0;[&lt;=-0.005]\-#,##0.0;#,##0.0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9" sId="1" odxf="1" s="1" dxf="1" numFmtId="4">
    <nc r="D63">
      <v>1713709.1</v>
    </nc>
    <ndxf>
      <numFmt numFmtId="167" formatCode="[&gt;=0.005]#,##0.0;[&lt;=-0.005]\-#,##0.0;#,##0.0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0" sId="1" odxf="1" dxf="1">
    <nc r="D64">
      <f>D49+D50+D51+D52+D54+D55+D56+D57+D58+D59+D60+D61+D62+D63</f>
    </nc>
    <ndxf>
      <font>
        <b/>
        <sz val="12"/>
      </font>
      <numFmt numFmtId="167" formatCode="[&gt;=0.005]#,##0.0;[&lt;=-0.005]\-#,##0.0;#,##0.0"/>
      <fill>
        <patternFill patternType="solid">
          <bgColor theme="0"/>
        </patternFill>
      </fill>
      <alignment horizontal="righ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1" sId="1" odxf="1" dxf="1">
    <nc r="D66">
      <f>D67+D68+D69+D70+D75</f>
    </nc>
    <ndxf>
      <numFmt numFmtId="167" formatCode="[&gt;=0.005]#,##0.0;[&lt;=-0.005]\-#,##0.0;#,##0.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2" sId="1" odxf="1" s="1" dxf="1" numFmtId="4">
    <nc r="D67">
      <v>-10</v>
    </nc>
    <ndxf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3" sId="1" odxf="1" s="1" dxf="1" numFmtId="4">
    <nc r="D68">
      <v>-6439931.2000000002</v>
    </nc>
    <ndxf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4" sId="1" odxf="1" s="1" dxf="1" numFmtId="4">
    <nc r="D69">
      <v>6785514.4000000004</v>
    </nc>
    <ndxf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5" sId="1" odxf="1" s="1" dxf="1">
    <nc r="D70">
      <f>D72+D73</f>
    </nc>
    <ndxf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6" sId="1" odxf="1" s="1" dxf="1" numFmtId="4">
    <nc r="D71">
      <v>0</v>
    </nc>
    <ndxf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="1" sqref="D72" start="0" length="0">
    <dxf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7" sId="1" odxf="1" s="1" dxf="1" numFmtId="4">
    <nc r="D73">
      <v>694516.3</v>
    </nc>
    <ndxf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="1" sqref="D74" start="0" length="0">
    <dxf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D75" start="0" length="0">
    <dxf>
      <numFmt numFmtId="167" formatCode="[&gt;=0.005]#,##0.0;[&lt;=-0.005]\-#,##0.0;#,##0.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18" sId="1" odxf="1" dxf="1">
    <nc r="D65">
      <f>D47-D64</f>
    </nc>
    <ndxf>
      <numFmt numFmtId="165" formatCode="#,##0.0"/>
      <fill>
        <patternFill patternType="solid">
          <bgColor theme="0"/>
        </patternFill>
      </fill>
      <alignment horizontal="righ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9" sId="1" odxf="1" dxf="1">
    <nc r="C65">
      <f>C47-C64</f>
    </nc>
    <odxf/>
    <ndxf/>
  </rcc>
  <rcc rId="320" sId="1" odxf="1" dxf="1">
    <nc r="C66">
      <f>C67+C68+C69+C70+C75</f>
    </nc>
    <odxf/>
    <ndxf/>
  </rcc>
  <rcc rId="321" sId="1" odxf="1" dxf="1" numFmtId="4">
    <nc r="C67">
      <v>-10</v>
    </nc>
    <odxf/>
    <ndxf/>
  </rcc>
  <rcc rId="322" sId="1" odxf="1" dxf="1" numFmtId="4">
    <nc r="C68">
      <v>-6439931.2000000002</v>
    </nc>
    <odxf/>
    <ndxf/>
  </rcc>
  <rcc rId="323" sId="1" odxf="1" dxf="1" numFmtId="4">
    <nc r="C69">
      <v>6785514.4000000004</v>
    </nc>
    <odxf/>
    <ndxf/>
  </rcc>
  <rcc rId="324" sId="1" odxf="1" dxf="1">
    <nc r="C70">
      <f>C72+C73</f>
    </nc>
    <odxf/>
    <ndxf/>
  </rcc>
  <rcc rId="325" sId="1" odxf="1" dxf="1" numFmtId="4">
    <nc r="C71">
      <v>0</v>
    </nc>
    <odxf/>
    <ndxf/>
  </rcc>
  <rfmt sheetId="1" sqref="C72" start="0" length="0">
    <dxf/>
  </rfmt>
  <rcc rId="326" sId="1" odxf="1" dxf="1" numFmtId="4">
    <nc r="C73">
      <v>694516.3</v>
    </nc>
    <odxf/>
    <ndxf/>
  </rcc>
  <rfmt sheetId="1" sqref="C74" start="0" length="0">
    <dxf/>
  </rfmt>
  <rfmt sheetId="1" sqref="C75" start="0" length="0">
    <dxf/>
  </rfmt>
  <rcc rId="327" sId="1" numFmtId="4">
    <nc r="D75">
      <v>12801.7</v>
    </nc>
  </rcc>
  <rcc rId="328" sId="1">
    <oc r="A15" t="inlineStr">
      <is>
        <t>Налог на профессиональный доход</t>
      </is>
    </oc>
    <nc r="A15" t="inlineStr">
      <is>
        <t>Налог на профессиональный доход, налог, взимаемый в связи с применением специального налогового режима "Автоматизированная упрощенная система налогообложения"</t>
      </is>
    </nc>
  </rcc>
  <rcc rId="329" sId="1" numFmtId="4">
    <oc r="B15">
      <v>198173.7</v>
    </oc>
    <nc r="B15">
      <f>198173.7+1879.7</f>
    </nc>
  </rcc>
  <rcc rId="330" sId="1" numFmtId="4">
    <oc r="B16">
      <v>1879.7</v>
    </oc>
    <nc r="B16"/>
  </rcc>
  <rrc rId="331" sId="1" ref="A16:XFD16" action="deleteRow">
    <undo index="4" exp="ref" v="1" dr="G16" r="G13" sId="1"/>
    <undo index="4" exp="ref" v="1" dr="E16" r="E13" sId="1"/>
    <undo index="4" exp="ref" v="1" dr="D16" r="D13" sId="1"/>
    <undo index="4" exp="ref" v="1" dr="C16" r="C13" sId="1"/>
    <undo index="4" exp="ref" v="1" dr="B16" r="B13" sId="1"/>
    <rfmt sheetId="1" xfDxf="1" s="1" sqref="A16:XFD1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2"/>
          <color auto="1"/>
          <name val="Times New Roman"/>
          <scheme val="none"/>
        </font>
        <numFmt numFmtId="0" formatCode="General"/>
        <fill>
          <patternFill patternType="solid">
            <fgColor indexed="64"/>
            <bgColor rgb="FFFFFF00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16" t="inlineStr">
        <is>
          <t>Налог, взимаемый в связи с применением специального налогового режима "Автоматизированная упрощенная система налогообложения"</t>
        </is>
      </nc>
      <ndxf>
        <alignment horizontal="left"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fmt sheetId="1" s="1" sqref="B16" start="0" length="0">
      <dxf>
        <numFmt numFmtId="167" formatCode="[&gt;=0.005]#,##0.0;[&lt;=-0.005]\-#,##0.0;#,##0.0"/>
        <fill>
          <patternFill patternType="none">
            <bgColor indexed="65"/>
          </patternFill>
        </fill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4">
      <nc r="C16">
        <v>0</v>
      </nc>
      <ndxf>
        <numFmt numFmtId="167" formatCode="[&gt;=0.005]#,##0.0;[&lt;=-0.005]\-#,##0.0;#,##0.0"/>
        <fill>
          <patternFill patternType="none">
            <bgColor indexed="65"/>
          </patternFill>
        </fill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D16">
        <v>0</v>
      </nc>
      <ndxf>
        <numFmt numFmtId="167" formatCode="[&gt;=0.005]#,##0.0;[&lt;=-0.005]\-#,##0.0;#,##0.0"/>
        <fill>
          <patternFill patternType="none">
            <bgColor indexed="65"/>
          </patternFill>
        </fill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E16">
        <v>0</v>
      </nc>
      <ndxf>
        <numFmt numFmtId="167" formatCode="[&gt;=0.005]#,##0.0;[&lt;=-0.005]\-#,##0.0;#,##0.0"/>
        <fill>
          <patternFill patternType="none">
            <bgColor indexed="65"/>
          </patternFill>
        </fill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G16">
        <v>0</v>
      </nc>
      <ndxf>
        <numFmt numFmtId="167" formatCode="[&gt;=0.005]#,##0.0;[&lt;=-0.005]\-#,##0.0;#,##0.0"/>
        <fill>
          <patternFill patternType="none">
            <bgColor indexed="65"/>
          </patternFill>
        </fill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332" sId="1">
    <oc r="B13">
      <f>+B14+B15+#REF!</f>
    </oc>
    <nc r="B13">
      <f>+B14+B15</f>
    </nc>
  </rcc>
  <rcc rId="333" sId="1">
    <nc r="C13">
      <f>+C14+C15</f>
    </nc>
  </rcc>
  <rcc rId="334" sId="1">
    <nc r="D13">
      <f>+D14+D15</f>
    </nc>
  </rcc>
  <rcc rId="335" sId="1">
    <oc r="E13">
      <f>+E14+E15+#REF!</f>
    </oc>
    <nc r="E13">
      <f>+E14+E15</f>
    </nc>
  </rcc>
  <rcv guid="{BD55AB36-084D-4C26-BAB2-482C24A270C8}" action="delete"/>
  <rdn rId="0" localSheetId="1" customView="1" name="Z_BD55AB36_084D_4C26_BAB2_482C24A270C8_.wvu.PrintArea" hidden="1" oldHidden="1">
    <formula>'ожид.оценка 2024'!$A$1:$E$74</formula>
    <oldFormula>'ожид.оценка 2024'!$A$1:$E$74</oldFormula>
  </rdn>
  <rdn rId="0" localSheetId="1" customView="1" name="Z_BD55AB36_084D_4C26_BAB2_482C24A270C8_.wvu.PrintTitles" hidden="1" oldHidden="1">
    <formula>'ожид.оценка 2024'!$3:$3</formula>
    <oldFormula>'ожид.оценка 2024'!$3:$3</oldFormula>
  </rdn>
  <rdn rId="0" localSheetId="2" customView="1" name="Z_BD55AB36_084D_4C26_BAB2_482C24A270C8_.wvu.PrintArea" hidden="1" oldHidden="1">
    <formula>'по отчету отправка'!$A$1:$C$75</formula>
    <oldFormula>'по отчету отправка'!$A$1:$C$75</oldFormula>
  </rdn>
  <rdn rId="0" localSheetId="2" customView="1" name="Z_BD55AB36_084D_4C26_BAB2_482C24A270C8_.wvu.PrintTitles" hidden="1" oldHidden="1">
    <formula>'по отчету отправка'!$3:$3</formula>
    <oldFormula>'по отчету отправка'!$3:$3</oldFormula>
  </rdn>
  <rdn rId="0" localSheetId="2" customView="1" name="Z_BD55AB36_084D_4C26_BAB2_482C24A270C8_.wvu.Rows" hidden="1" oldHidden="1">
    <formula>'по отчету отправка'!$41:$42</formula>
    <oldFormula>'по отчету отправка'!$41:$42</oldFormula>
  </rdn>
  <rdn rId="0" localSheetId="3" customView="1" name="Z_BD55AB36_084D_4C26_BAB2_482C24A270C8_.wvu.PrintArea" hidden="1" oldHidden="1">
    <formula>'по отчету руб'!$A$1:$C$74</formula>
    <oldFormula>'по отчету руб'!$A$1:$C$74</oldFormula>
  </rdn>
  <rdn rId="0" localSheetId="3" customView="1" name="Z_BD55AB36_084D_4C26_BAB2_482C24A270C8_.wvu.PrintTitles" hidden="1" oldHidden="1">
    <formula>'по отчету руб'!$3:$3</formula>
    <oldFormula>'по отчету руб'!$3:$3</oldFormula>
  </rdn>
  <rdn rId="0" localSheetId="3" customView="1" name="Z_BD55AB36_084D_4C26_BAB2_482C24A270C8_.wvu.Rows" hidden="1" oldHidden="1">
    <formula>'по отчету руб'!$13:$13,'по отчету руб'!$16:$16,'по отчету руб'!$40:$41,'по отчету руб'!$44:$44,'по отчету руб'!$71:$71</formula>
    <oldFormula>'по отчету руб'!$13:$13,'по отчету руб'!$16:$16,'по отчету руб'!$40:$41,'по отчету руб'!$44:$44,'по отчету руб'!$71:$71</oldFormula>
  </rdn>
  <rdn rId="0" localSheetId="4" customView="1" name="Z_BD55AB36_084D_4C26_BAB2_482C24A270C8_.wvu.PrintArea" hidden="1" oldHidden="1">
    <formula>'по отчету (3)'!$A$1:$C$74</formula>
    <oldFormula>'по отчету (3)'!$A$1:$C$74</oldFormula>
  </rdn>
  <rdn rId="0" localSheetId="4" customView="1" name="Z_BD55AB36_084D_4C26_BAB2_482C24A270C8_.wvu.PrintTitles" hidden="1" oldHidden="1">
    <formula>'по отчету (3)'!$3:$3</formula>
    <oldFormula>'по отчету (3)'!$3:$3</oldFormula>
  </rdn>
  <rdn rId="0" localSheetId="4" customView="1" name="Z_BD55AB36_084D_4C26_BAB2_482C24A270C8_.wvu.Rows" hidden="1" oldHidden="1">
    <formula>'по отчету (3)'!$13:$13,'по отчету (3)'!$16:$16,'по отчету (3)'!$40:$41,'по отчету (3)'!$44:$44,'по отчету (3)'!$71:$71</formula>
    <oldFormula>'по отчету (3)'!$13:$13,'по отчету (3)'!$16:$16,'по отчету (3)'!$40:$41,'по отчету (3)'!$44:$44,'по отчету (3)'!$71:$71</oldFormula>
  </rdn>
  <rdn rId="0" localSheetId="5" customView="1" name="Z_BD55AB36_084D_4C26_BAB2_482C24A270C8_.wvu.PrintArea" hidden="1" oldHidden="1">
    <formula>'план по отчету'!$A$1:$D$78</formula>
    <oldFormula>'план по отчету'!$A$1:$D$78</oldFormula>
  </rdn>
  <rdn rId="0" localSheetId="5" customView="1" name="Z_BD55AB36_084D_4C26_BAB2_482C24A270C8_.wvu.PrintTitles" hidden="1" oldHidden="1">
    <formula>'план по отчету'!$3:$3</formula>
    <oldFormula>'план по отчету'!$3:$3</oldFormula>
  </rdn>
  <rdn rId="0" localSheetId="5" customView="1" name="Z_BD55AB36_084D_4C26_BAB2_482C24A270C8_.wvu.Rows" hidden="1" oldHidden="1">
    <formula>'план по отчету'!$13:$13,'план по отчету'!$16:$16,'план по отчету'!$44:$45,'план по отчету'!$48:$48,'план по отчету'!$75:$75</formula>
    <oldFormula>'план по отчету'!$13:$13,'план по отчету'!$16:$16,'план по отчету'!$44:$45,'план по отчету'!$48:$48,'план по отчету'!$75:$75</oldFormula>
  </rdn>
  <rdn rId="0" localSheetId="6" customView="1" name="Z_BD55AB36_084D_4C26_BAB2_482C24A270C8_.wvu.PrintArea" hidden="1" oldHidden="1">
    <formula>'на отправку'!$A$1:$C$78</formula>
    <oldFormula>'на отправку'!$A$1:$C$78</oldFormula>
  </rdn>
  <rdn rId="0" localSheetId="6" customView="1" name="Z_BD55AB36_084D_4C26_BAB2_482C24A270C8_.wvu.PrintTitles" hidden="1" oldHidden="1">
    <formula>'на отправку'!$3:$3</formula>
    <oldFormula>'на отправку'!$3:$3</oldFormula>
  </rdn>
  <rdn rId="0" localSheetId="6" customView="1" name="Z_BD55AB36_084D_4C26_BAB2_482C24A270C8_.wvu.Rows" hidden="1" oldHidden="1">
    <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formula>
    <oldFormula>'на отправку'!$13:$13,'на отправку'!$16:$16,'на отправку'!$25:$25,'на отправку'!$29:$29,'на отправку'!$32:$32,'на отправку'!$42:$42,'на отправку'!$44:$45,'на отправку'!$48:$48,'на отправку'!$75:$75</oldFormula>
  </rdn>
  <rdn rId="0" localSheetId="7" customView="1" name="Z_BD55AB36_084D_4C26_BAB2_482C24A270C8_.wvu.PrintArea" hidden="1" oldHidden="1">
    <formula>'по отчету'!$A$1:$C$78</formula>
    <oldFormula>'по отчету'!$A$1:$C$78</oldFormula>
  </rdn>
  <rdn rId="0" localSheetId="7" customView="1" name="Z_BD55AB36_084D_4C26_BAB2_482C24A270C8_.wvu.PrintTitles" hidden="1" oldHidden="1">
    <formula>'по отчету'!$3:$3</formula>
    <oldFormula>'по отчету'!$3:$3</oldFormula>
  </rdn>
  <rdn rId="0" localSheetId="7" customView="1" name="Z_BD55AB36_084D_4C26_BAB2_482C24A270C8_.wvu.Rows" hidden="1" oldHidden="1">
    <formula>'по отчету'!$13:$13,'по отчету'!$16:$16,'по отчету'!$44:$45,'по отчету'!$48:$48,'по отчету'!$75:$75</formula>
    <oldFormula>'по отчету'!$13:$13,'по отчету'!$16:$16,'по отчету'!$44:$45,'по отчету'!$48:$48,'по отчету'!$75:$75</oldFormula>
  </rdn>
  <rcv guid="{BD55AB36-084D-4C26-BAB2-482C24A270C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view="pageBreakPreview" zoomScale="80" zoomScaleSheetLayoutView="80" workbookViewId="0">
      <pane xSplit="1" ySplit="3" topLeftCell="B58" activePane="bottomRight" state="frozen"/>
      <selection pane="topRight" activeCell="B1" sqref="B1"/>
      <selection pane="bottomLeft" activeCell="A4" sqref="A4"/>
      <selection pane="bottomRight" activeCell="C64" sqref="C64"/>
    </sheetView>
  </sheetViews>
  <sheetFormatPr defaultRowHeight="15.75" x14ac:dyDescent="0.25"/>
  <cols>
    <col min="1" max="1" width="69" style="83" customWidth="1"/>
    <col min="2" max="2" width="18.7109375" style="83" customWidth="1"/>
    <col min="3" max="3" width="18.85546875" style="83" customWidth="1"/>
    <col min="4" max="4" width="33.42578125" style="15" customWidth="1"/>
    <col min="5" max="5" width="32" style="19" customWidth="1"/>
    <col min="6" max="6" width="22.5703125" style="15" customWidth="1"/>
    <col min="7" max="16384" width="9.140625" style="15"/>
  </cols>
  <sheetData>
    <row r="1" spans="1:5" s="92" customFormat="1" ht="33.75" customHeight="1" x14ac:dyDescent="0.25">
      <c r="A1" s="149" t="s">
        <v>113</v>
      </c>
      <c r="B1" s="149"/>
      <c r="C1" s="133"/>
      <c r="E1" s="127"/>
    </row>
    <row r="2" spans="1:5" x14ac:dyDescent="0.25">
      <c r="A2" s="93"/>
      <c r="B2" s="93"/>
      <c r="C2" s="113" t="s">
        <v>107</v>
      </c>
    </row>
    <row r="3" spans="1:5" s="111" customFormat="1" ht="63" customHeight="1" x14ac:dyDescent="0.2">
      <c r="A3" s="94" t="s">
        <v>0</v>
      </c>
      <c r="B3" s="96" t="s">
        <v>111</v>
      </c>
      <c r="C3" s="141" t="s">
        <v>114</v>
      </c>
      <c r="E3" s="10"/>
    </row>
    <row r="4" spans="1:5" s="111" customFormat="1" x14ac:dyDescent="0.2">
      <c r="A4" s="7" t="s">
        <v>39</v>
      </c>
      <c r="B4" s="119"/>
      <c r="C4" s="142"/>
      <c r="D4" s="136"/>
      <c r="E4" s="144"/>
    </row>
    <row r="5" spans="1:5" s="23" customFormat="1" x14ac:dyDescent="0.25">
      <c r="A5" s="7" t="s">
        <v>1</v>
      </c>
      <c r="B5" s="115">
        <v>33961013.200000003</v>
      </c>
      <c r="C5" s="115">
        <v>49397075.100000001</v>
      </c>
      <c r="E5" s="128"/>
    </row>
    <row r="6" spans="1:5" x14ac:dyDescent="0.25">
      <c r="A6" s="20" t="s">
        <v>2</v>
      </c>
      <c r="B6" s="114">
        <v>18674956.100000001</v>
      </c>
      <c r="C6" s="114">
        <v>28163590.699999999</v>
      </c>
      <c r="E6" s="129"/>
    </row>
    <row r="7" spans="1:5" x14ac:dyDescent="0.25">
      <c r="A7" s="56" t="s">
        <v>3</v>
      </c>
      <c r="B7" s="120">
        <v>5442429.5</v>
      </c>
      <c r="C7" s="143">
        <v>8059318</v>
      </c>
      <c r="E7" s="130"/>
    </row>
    <row r="8" spans="1:5" x14ac:dyDescent="0.25">
      <c r="A8" s="56" t="s">
        <v>4</v>
      </c>
      <c r="B8" s="120">
        <v>13232526.6</v>
      </c>
      <c r="C8" s="143">
        <v>20104272.699999999</v>
      </c>
      <c r="E8" s="130"/>
    </row>
    <row r="9" spans="1:5" ht="34.5" customHeight="1" x14ac:dyDescent="0.25">
      <c r="A9" s="20" t="s">
        <v>5</v>
      </c>
      <c r="B9" s="120">
        <v>4813035.0999999996</v>
      </c>
      <c r="C9" s="120">
        <v>6685161.2000000002</v>
      </c>
      <c r="E9" s="130"/>
    </row>
    <row r="10" spans="1:5" x14ac:dyDescent="0.25">
      <c r="A10" s="56" t="s">
        <v>6</v>
      </c>
      <c r="B10" s="120">
        <v>4813035.0999999996</v>
      </c>
      <c r="C10" s="143">
        <v>6685161.2000000002</v>
      </c>
      <c r="E10" s="130"/>
    </row>
    <row r="11" spans="1:5" ht="31.5" x14ac:dyDescent="0.25">
      <c r="A11" s="56" t="s">
        <v>106</v>
      </c>
      <c r="B11" s="148">
        <v>911874.3</v>
      </c>
      <c r="C11" s="143">
        <v>1280223.8999999999</v>
      </c>
      <c r="E11" s="131"/>
    </row>
    <row r="12" spans="1:5" ht="48.75" customHeight="1" x14ac:dyDescent="0.25">
      <c r="A12" s="56" t="s">
        <v>109</v>
      </c>
      <c r="B12" s="148">
        <v>3901160.8</v>
      </c>
      <c r="C12" s="143">
        <v>5404937.2999999998</v>
      </c>
      <c r="E12" s="131"/>
    </row>
    <row r="13" spans="1:5" ht="17.25" customHeight="1" x14ac:dyDescent="0.25">
      <c r="A13" s="20" t="s">
        <v>7</v>
      </c>
      <c r="B13" s="120">
        <v>3412501.2</v>
      </c>
      <c r="C13" s="120">
        <v>4548626.3</v>
      </c>
      <c r="E13" s="130"/>
    </row>
    <row r="14" spans="1:5" ht="31.5" x14ac:dyDescent="0.25">
      <c r="A14" s="56" t="s">
        <v>36</v>
      </c>
      <c r="B14" s="120">
        <v>3212447.8</v>
      </c>
      <c r="C14" s="143">
        <v>4281193.3</v>
      </c>
      <c r="E14" s="130"/>
    </row>
    <row r="15" spans="1:5" s="54" customFormat="1" ht="47.25" x14ac:dyDescent="0.25">
      <c r="A15" s="56" t="s">
        <v>112</v>
      </c>
      <c r="B15" s="120">
        <v>200053.4</v>
      </c>
      <c r="C15" s="143">
        <v>267433</v>
      </c>
      <c r="E15" s="130"/>
    </row>
    <row r="16" spans="1:5" x14ac:dyDescent="0.25">
      <c r="A16" s="20" t="s">
        <v>9</v>
      </c>
      <c r="B16" s="120">
        <v>3143785.2</v>
      </c>
      <c r="C16" s="120">
        <v>4682051</v>
      </c>
      <c r="E16" s="130"/>
    </row>
    <row r="17" spans="1:5" x14ac:dyDescent="0.25">
      <c r="A17" s="56" t="s">
        <v>10</v>
      </c>
      <c r="B17" s="120">
        <v>2688271.5</v>
      </c>
      <c r="C17" s="143">
        <v>3528564</v>
      </c>
      <c r="E17" s="130"/>
    </row>
    <row r="18" spans="1:5" x14ac:dyDescent="0.25">
      <c r="A18" s="56" t="s">
        <v>11</v>
      </c>
      <c r="B18" s="120">
        <v>454981.7</v>
      </c>
      <c r="C18" s="143">
        <v>1152787</v>
      </c>
      <c r="E18" s="130"/>
    </row>
    <row r="19" spans="1:5" x14ac:dyDescent="0.25">
      <c r="A19" s="56" t="s">
        <v>12</v>
      </c>
      <c r="B19" s="120">
        <v>532</v>
      </c>
      <c r="C19" s="143">
        <v>700</v>
      </c>
      <c r="E19" s="130"/>
    </row>
    <row r="20" spans="1:5" ht="31.5" x14ac:dyDescent="0.25">
      <c r="A20" s="20" t="s">
        <v>13</v>
      </c>
      <c r="B20" s="120">
        <v>1860105.2</v>
      </c>
      <c r="C20" s="120">
        <v>2339417.4</v>
      </c>
      <c r="E20" s="130"/>
    </row>
    <row r="21" spans="1:5" x14ac:dyDescent="0.25">
      <c r="A21" s="56" t="s">
        <v>14</v>
      </c>
      <c r="B21" s="120">
        <v>1809083.9</v>
      </c>
      <c r="C21" s="143">
        <v>2263454.4</v>
      </c>
      <c r="E21" s="130"/>
    </row>
    <row r="22" spans="1:5" ht="31.5" x14ac:dyDescent="0.25">
      <c r="A22" s="56" t="s">
        <v>15</v>
      </c>
      <c r="B22" s="120">
        <v>51021.3</v>
      </c>
      <c r="C22" s="143">
        <v>75963</v>
      </c>
      <c r="E22" s="130"/>
    </row>
    <row r="23" spans="1:5" x14ac:dyDescent="0.25">
      <c r="A23" s="20" t="s">
        <v>79</v>
      </c>
      <c r="B23" s="120">
        <v>74673</v>
      </c>
      <c r="C23" s="143">
        <v>102230.5</v>
      </c>
      <c r="E23" s="130"/>
    </row>
    <row r="24" spans="1:5" s="81" customFormat="1" ht="31.5" x14ac:dyDescent="0.25">
      <c r="A24" s="20" t="s">
        <v>16</v>
      </c>
      <c r="B24" s="120"/>
      <c r="C24" s="143">
        <v>0</v>
      </c>
      <c r="E24" s="130"/>
    </row>
    <row r="25" spans="1:5" ht="51.75" customHeight="1" x14ac:dyDescent="0.25">
      <c r="A25" s="20" t="s">
        <v>17</v>
      </c>
      <c r="B25" s="120">
        <v>145849.9</v>
      </c>
      <c r="C25" s="143">
        <v>386780.5</v>
      </c>
      <c r="E25" s="130"/>
    </row>
    <row r="26" spans="1:5" ht="18" customHeight="1" x14ac:dyDescent="0.25">
      <c r="A26" s="20" t="s">
        <v>18</v>
      </c>
      <c r="B26" s="120">
        <v>1035758.4</v>
      </c>
      <c r="C26" s="143">
        <v>1353185.1</v>
      </c>
      <c r="E26" s="130"/>
    </row>
    <row r="27" spans="1:5" ht="31.5" x14ac:dyDescent="0.25">
      <c r="A27" s="20" t="s">
        <v>76</v>
      </c>
      <c r="B27" s="120">
        <v>84449.4</v>
      </c>
      <c r="C27" s="143">
        <v>203783.2</v>
      </c>
      <c r="E27" s="130"/>
    </row>
    <row r="28" spans="1:5" ht="31.5" x14ac:dyDescent="0.25">
      <c r="A28" s="20" t="s">
        <v>78</v>
      </c>
      <c r="B28" s="120">
        <v>17120.400000000001</v>
      </c>
      <c r="C28" s="143">
        <v>68050.2</v>
      </c>
      <c r="E28" s="130"/>
    </row>
    <row r="29" spans="1:5" x14ac:dyDescent="0.25">
      <c r="A29" s="20" t="s">
        <v>19</v>
      </c>
      <c r="B29" s="120">
        <v>1.1000000000000001</v>
      </c>
      <c r="C29" s="143">
        <v>7</v>
      </c>
      <c r="E29" s="130"/>
    </row>
    <row r="30" spans="1:5" x14ac:dyDescent="0.25">
      <c r="A30" s="20" t="s">
        <v>20</v>
      </c>
      <c r="B30" s="120">
        <v>692330.6</v>
      </c>
      <c r="C30" s="143">
        <v>854191.8</v>
      </c>
      <c r="E30" s="130"/>
    </row>
    <row r="31" spans="1:5" s="81" customFormat="1" x14ac:dyDescent="0.25">
      <c r="A31" s="20" t="s">
        <v>94</v>
      </c>
      <c r="B31" s="120">
        <v>6447.6</v>
      </c>
      <c r="C31" s="143">
        <v>10000.200000000001</v>
      </c>
      <c r="E31" s="130"/>
    </row>
    <row r="32" spans="1:5" s="23" customFormat="1" x14ac:dyDescent="0.25">
      <c r="A32" s="7" t="s">
        <v>22</v>
      </c>
      <c r="B32" s="124">
        <v>21371823.600000001</v>
      </c>
      <c r="C32" s="115">
        <v>29330178.699999999</v>
      </c>
      <c r="D32" s="138"/>
      <c r="E32" s="128"/>
    </row>
    <row r="33" spans="1:5" ht="33" customHeight="1" x14ac:dyDescent="0.25">
      <c r="A33" s="20" t="s">
        <v>37</v>
      </c>
      <c r="B33" s="116">
        <v>17231374.199999999</v>
      </c>
      <c r="C33" s="116">
        <v>23611473.399999999</v>
      </c>
      <c r="D33" s="139"/>
      <c r="E33" s="132"/>
    </row>
    <row r="34" spans="1:5" ht="31.5" x14ac:dyDescent="0.25">
      <c r="A34" s="20" t="s">
        <v>23</v>
      </c>
      <c r="B34" s="114">
        <v>6223850.5</v>
      </c>
      <c r="C34" s="143">
        <v>8250677.7999999998</v>
      </c>
      <c r="D34" s="140"/>
      <c r="E34" s="129"/>
    </row>
    <row r="35" spans="1:5" x14ac:dyDescent="0.25">
      <c r="A35" s="56" t="s">
        <v>69</v>
      </c>
      <c r="B35" s="114">
        <v>5372847.9000000004</v>
      </c>
      <c r="C35" s="143">
        <v>7163796.9000000004</v>
      </c>
      <c r="D35" s="140"/>
      <c r="E35" s="129"/>
    </row>
    <row r="36" spans="1:5" ht="33.75" customHeight="1" x14ac:dyDescent="0.25">
      <c r="A36" s="56" t="s">
        <v>95</v>
      </c>
      <c r="B36" s="114">
        <v>707636.7</v>
      </c>
      <c r="C36" s="143">
        <v>943515</v>
      </c>
      <c r="D36" s="140"/>
      <c r="E36" s="129"/>
    </row>
    <row r="37" spans="1:5" ht="31.5" customHeight="1" x14ac:dyDescent="0.25">
      <c r="A37" s="118" t="s">
        <v>108</v>
      </c>
      <c r="B37" s="114">
        <v>143365.9</v>
      </c>
      <c r="C37" s="143">
        <v>143365.9</v>
      </c>
      <c r="D37" s="140"/>
      <c r="E37" s="129"/>
    </row>
    <row r="38" spans="1:5" ht="31.5" x14ac:dyDescent="0.25">
      <c r="A38" s="56" t="s">
        <v>24</v>
      </c>
      <c r="B38" s="114">
        <v>8338230.7999999998</v>
      </c>
      <c r="C38" s="143">
        <v>11357111.5</v>
      </c>
      <c r="D38" s="140"/>
      <c r="E38" s="129"/>
    </row>
    <row r="39" spans="1:5" ht="31.5" x14ac:dyDescent="0.25">
      <c r="A39" s="56" t="s">
        <v>25</v>
      </c>
      <c r="B39" s="114">
        <v>1964226.8</v>
      </c>
      <c r="C39" s="143">
        <v>2779819.9</v>
      </c>
      <c r="D39" s="140"/>
      <c r="E39" s="129"/>
    </row>
    <row r="40" spans="1:5" x14ac:dyDescent="0.25">
      <c r="A40" s="56" t="s">
        <v>26</v>
      </c>
      <c r="B40" s="114">
        <v>705066.1</v>
      </c>
      <c r="C40" s="143">
        <v>1223864.2</v>
      </c>
      <c r="D40" s="140"/>
      <c r="E40" s="129"/>
    </row>
    <row r="41" spans="1:5" ht="31.5" x14ac:dyDescent="0.25">
      <c r="A41" s="20" t="s">
        <v>28</v>
      </c>
      <c r="B41" s="114">
        <v>3678396.5</v>
      </c>
      <c r="C41" s="143">
        <v>5256652.4000000004</v>
      </c>
      <c r="D41" s="140"/>
      <c r="E41" s="129"/>
    </row>
    <row r="42" spans="1:5" ht="32.25" customHeight="1" x14ac:dyDescent="0.25">
      <c r="A42" s="20" t="s">
        <v>38</v>
      </c>
      <c r="B42" s="114">
        <v>4975.8</v>
      </c>
      <c r="C42" s="143">
        <v>4975.8</v>
      </c>
      <c r="D42" s="140"/>
      <c r="E42" s="129"/>
    </row>
    <row r="43" spans="1:5" x14ac:dyDescent="0.25">
      <c r="A43" s="20" t="s">
        <v>72</v>
      </c>
      <c r="B43" s="114">
        <v>202041.4</v>
      </c>
      <c r="C43" s="143">
        <v>202041.4</v>
      </c>
      <c r="D43" s="140"/>
      <c r="E43" s="129"/>
    </row>
    <row r="44" spans="1:5" s="23" customFormat="1" ht="94.5" x14ac:dyDescent="0.25">
      <c r="A44" s="20" t="s">
        <v>100</v>
      </c>
      <c r="B44" s="114">
        <v>421451.7</v>
      </c>
      <c r="C44" s="143">
        <v>421451.7</v>
      </c>
      <c r="D44" s="140"/>
      <c r="E44" s="129"/>
    </row>
    <row r="45" spans="1:5" s="23" customFormat="1" ht="47.25" x14ac:dyDescent="0.25">
      <c r="A45" s="85" t="s">
        <v>101</v>
      </c>
      <c r="B45" s="121">
        <v>-166416</v>
      </c>
      <c r="C45" s="143">
        <v>-166416</v>
      </c>
      <c r="D45" s="140"/>
      <c r="E45" s="129"/>
    </row>
    <row r="46" spans="1:5" s="23" customFormat="1" x14ac:dyDescent="0.25">
      <c r="A46" s="7" t="s">
        <v>49</v>
      </c>
      <c r="B46" s="117">
        <v>55332836.799999997</v>
      </c>
      <c r="C46" s="117">
        <v>78727253.799999997</v>
      </c>
      <c r="E46" s="25"/>
    </row>
    <row r="47" spans="1:5" s="23" customFormat="1" x14ac:dyDescent="0.25">
      <c r="A47" s="7" t="s">
        <v>40</v>
      </c>
      <c r="B47" s="104"/>
      <c r="C47" s="126"/>
      <c r="E47" s="25"/>
    </row>
    <row r="48" spans="1:5" x14ac:dyDescent="0.25">
      <c r="A48" s="20" t="s">
        <v>50</v>
      </c>
      <c r="B48" s="121">
        <v>2001423.2</v>
      </c>
      <c r="C48" s="125">
        <v>3565853.2</v>
      </c>
    </row>
    <row r="49" spans="1:5" x14ac:dyDescent="0.25">
      <c r="A49" s="20" t="s">
        <v>51</v>
      </c>
      <c r="B49" s="121">
        <v>20516.400000000001</v>
      </c>
      <c r="C49" s="125">
        <v>30159.4</v>
      </c>
    </row>
    <row r="50" spans="1:5" ht="17.25" customHeight="1" x14ac:dyDescent="0.25">
      <c r="A50" s="20" t="s">
        <v>52</v>
      </c>
      <c r="B50" s="121">
        <v>938809.3</v>
      </c>
      <c r="C50" s="125">
        <v>1207107</v>
      </c>
    </row>
    <row r="51" spans="1:5" x14ac:dyDescent="0.25">
      <c r="A51" s="20" t="s">
        <v>53</v>
      </c>
      <c r="B51" s="121">
        <v>12181110.300000001</v>
      </c>
      <c r="C51" s="125">
        <v>15924709.199999999</v>
      </c>
    </row>
    <row r="52" spans="1:5" x14ac:dyDescent="0.25">
      <c r="A52" s="20" t="s">
        <v>54</v>
      </c>
      <c r="B52" s="114">
        <v>6845771.5999999996</v>
      </c>
      <c r="C52" s="143">
        <v>9455041.0999999996</v>
      </c>
    </row>
    <row r="53" spans="1:5" x14ac:dyDescent="0.25">
      <c r="A53" s="20" t="s">
        <v>55</v>
      </c>
      <c r="B53" s="121">
        <v>1587778.3</v>
      </c>
      <c r="C53" s="125">
        <v>7935220.2999999998</v>
      </c>
    </row>
    <row r="54" spans="1:5" x14ac:dyDescent="0.25">
      <c r="A54" s="20" t="s">
        <v>56</v>
      </c>
      <c r="B54" s="121">
        <v>50107.1</v>
      </c>
      <c r="C54" s="125">
        <v>88453.7</v>
      </c>
    </row>
    <row r="55" spans="1:5" x14ac:dyDescent="0.25">
      <c r="A55" s="20" t="s">
        <v>57</v>
      </c>
      <c r="B55" s="121">
        <v>13516559.5</v>
      </c>
      <c r="C55" s="125">
        <v>19277090.699999999</v>
      </c>
    </row>
    <row r="56" spans="1:5" x14ac:dyDescent="0.25">
      <c r="A56" s="20" t="s">
        <v>58</v>
      </c>
      <c r="B56" s="121">
        <v>1720783.8</v>
      </c>
      <c r="C56" s="125">
        <v>2354659.9</v>
      </c>
    </row>
    <row r="57" spans="1:5" x14ac:dyDescent="0.25">
      <c r="A57" s="20" t="s">
        <v>59</v>
      </c>
      <c r="B57" s="121">
        <v>5854234.4000000004</v>
      </c>
      <c r="C57" s="125">
        <v>7183649.9000000004</v>
      </c>
    </row>
    <row r="58" spans="1:5" x14ac:dyDescent="0.25">
      <c r="A58" s="20" t="s">
        <v>60</v>
      </c>
      <c r="B58" s="121">
        <v>14742250</v>
      </c>
      <c r="C58" s="125">
        <v>20210227.899999999</v>
      </c>
    </row>
    <row r="59" spans="1:5" x14ac:dyDescent="0.25">
      <c r="A59" s="20" t="s">
        <v>61</v>
      </c>
      <c r="B59" s="121">
        <v>446015.2</v>
      </c>
      <c r="C59" s="125">
        <v>885212.8</v>
      </c>
    </row>
    <row r="60" spans="1:5" x14ac:dyDescent="0.25">
      <c r="A60" s="20" t="s">
        <v>62</v>
      </c>
      <c r="B60" s="121">
        <v>202093.1</v>
      </c>
      <c r="C60" s="125">
        <v>291592.59999999998</v>
      </c>
    </row>
    <row r="61" spans="1:5" x14ac:dyDescent="0.25">
      <c r="A61" s="20" t="s">
        <v>110</v>
      </c>
      <c r="B61" s="121">
        <v>452938.1</v>
      </c>
      <c r="C61" s="125">
        <v>700000</v>
      </c>
    </row>
    <row r="62" spans="1:5" ht="33" customHeight="1" x14ac:dyDescent="0.25">
      <c r="A62" s="20" t="s">
        <v>64</v>
      </c>
      <c r="B62" s="121">
        <v>1142342.1000000001</v>
      </c>
      <c r="C62" s="125">
        <v>1713709.1</v>
      </c>
    </row>
    <row r="63" spans="1:5" x14ac:dyDescent="0.25">
      <c r="A63" s="7" t="s">
        <v>65</v>
      </c>
      <c r="B63" s="122">
        <v>54856960.799999997</v>
      </c>
      <c r="C63" s="122">
        <v>81367645.700000003</v>
      </c>
    </row>
    <row r="64" spans="1:5" s="23" customFormat="1" x14ac:dyDescent="0.25">
      <c r="A64" s="7" t="s">
        <v>96</v>
      </c>
      <c r="B64" s="123">
        <v>475876</v>
      </c>
      <c r="C64" s="123">
        <v>-2640391.9</v>
      </c>
      <c r="E64" s="25"/>
    </row>
    <row r="65" spans="1:6" s="23" customFormat="1" x14ac:dyDescent="0.25">
      <c r="A65" s="58" t="s">
        <v>29</v>
      </c>
      <c r="B65" s="124">
        <v>-475876</v>
      </c>
      <c r="C65" s="124">
        <v>2640391.9</v>
      </c>
      <c r="D65" s="135"/>
      <c r="E65" s="25"/>
    </row>
    <row r="66" spans="1:6" ht="48" customHeight="1" x14ac:dyDescent="0.25">
      <c r="A66" s="76" t="s">
        <v>86</v>
      </c>
      <c r="B66" s="114"/>
      <c r="C66" s="143">
        <v>-10</v>
      </c>
    </row>
    <row r="67" spans="1:6" ht="30.75" customHeight="1" x14ac:dyDescent="0.25">
      <c r="A67" s="76" t="s">
        <v>87</v>
      </c>
      <c r="B67" s="114">
        <v>-9525000</v>
      </c>
      <c r="C67" s="143">
        <v>2819028.7</v>
      </c>
      <c r="D67" s="146"/>
    </row>
    <row r="68" spans="1:6" ht="31.5" x14ac:dyDescent="0.25">
      <c r="A68" s="76" t="s">
        <v>88</v>
      </c>
      <c r="B68" s="114">
        <v>2430725</v>
      </c>
      <c r="C68" s="143">
        <v>-885944.8</v>
      </c>
    </row>
    <row r="69" spans="1:6" ht="31.5" x14ac:dyDescent="0.25">
      <c r="A69" s="76" t="s">
        <v>89</v>
      </c>
      <c r="B69" s="114">
        <v>8836156.1999999993</v>
      </c>
      <c r="C69" s="143">
        <v>694516.3</v>
      </c>
    </row>
    <row r="70" spans="1:6" x14ac:dyDescent="0.25">
      <c r="A70" s="108" t="s">
        <v>41</v>
      </c>
      <c r="B70" s="114">
        <v>0</v>
      </c>
      <c r="C70" s="143">
        <v>0</v>
      </c>
    </row>
    <row r="71" spans="1:6" ht="31.5" x14ac:dyDescent="0.25">
      <c r="A71" s="77" t="s">
        <v>34</v>
      </c>
      <c r="B71" s="114">
        <v>20</v>
      </c>
      <c r="C71" s="143"/>
    </row>
    <row r="72" spans="1:6" ht="31.5" x14ac:dyDescent="0.25">
      <c r="A72" s="56" t="s">
        <v>46</v>
      </c>
      <c r="B72" s="114">
        <v>349686.2</v>
      </c>
      <c r="C72" s="143">
        <v>694516.3</v>
      </c>
    </row>
    <row r="73" spans="1:6" ht="30.75" customHeight="1" x14ac:dyDescent="0.25">
      <c r="A73" s="56" t="s">
        <v>45</v>
      </c>
      <c r="B73" s="114">
        <v>8486450</v>
      </c>
      <c r="C73" s="143"/>
    </row>
    <row r="74" spans="1:6" ht="31.5" customHeight="1" x14ac:dyDescent="0.25">
      <c r="A74" s="78" t="s">
        <v>90</v>
      </c>
      <c r="B74" s="114">
        <v>-2217757.2000000002</v>
      </c>
      <c r="C74" s="143">
        <v>12801.7</v>
      </c>
      <c r="D74" s="135"/>
      <c r="E74" s="135"/>
      <c r="F74" s="135"/>
    </row>
    <row r="75" spans="1:6" ht="45.75" customHeight="1" x14ac:dyDescent="0.25">
      <c r="A75" s="150"/>
      <c r="B75" s="150"/>
      <c r="C75" s="134"/>
      <c r="D75" s="135"/>
      <c r="E75" s="135"/>
    </row>
    <row r="76" spans="1:6" ht="10.5" customHeight="1" x14ac:dyDescent="0.25">
      <c r="A76" s="82"/>
      <c r="B76" s="82"/>
      <c r="C76" s="82"/>
    </row>
    <row r="77" spans="1:6" x14ac:dyDescent="0.25">
      <c r="D77" s="137"/>
      <c r="E77" s="145"/>
    </row>
    <row r="78" spans="1:6" ht="16.5" x14ac:dyDescent="0.25">
      <c r="C78" s="147"/>
    </row>
    <row r="79" spans="1:6" ht="16.5" x14ac:dyDescent="0.25">
      <c r="C79" s="147"/>
    </row>
    <row r="80" spans="1:6" ht="12.75" customHeight="1" x14ac:dyDescent="0.25">
      <c r="A80" s="82"/>
      <c r="B80" s="82"/>
      <c r="C80" s="82"/>
    </row>
    <row r="81" spans="1:3" ht="11.25" customHeight="1" x14ac:dyDescent="0.25"/>
    <row r="86" spans="1:3" ht="11.25" customHeight="1" x14ac:dyDescent="0.25">
      <c r="A86" s="82"/>
      <c r="B86" s="82"/>
      <c r="C86" s="82"/>
    </row>
    <row r="87" spans="1:3" x14ac:dyDescent="0.25">
      <c r="A87" s="112"/>
      <c r="B87" s="112"/>
      <c r="C87" s="112"/>
    </row>
  </sheetData>
  <customSheetViews>
    <customSheetView guid="{BD55AB36-084D-4C26-BAB2-482C24A270C8}" scale="80" showPageBreaks="1" printArea="1" view="pageBreakPreview">
      <pane xSplit="1" ySplit="3" topLeftCell="B58" activePane="bottomRight" state="frozen"/>
      <selection pane="bottomRight" activeCell="C64" sqref="C64"/>
      <rowBreaks count="1" manualBreakCount="1">
        <brk id="42" max="2" man="1"/>
      </rowBreaks>
      <pageMargins left="0.51181102362204722" right="0.15748031496062992" top="0.39370078740157483" bottom="0.15748031496062992" header="0.15748031496062992" footer="0.15748031496062992"/>
      <printOptions horizontalCentered="1"/>
      <pageSetup paperSize="9" scale="75" fitToHeight="0" orientation="portrait" r:id="rId1"/>
      <headerFooter alignWithMargins="0"/>
    </customSheetView>
    <customSheetView guid="{34D410AD-58B4-4435-9ED5-15CA72283006}" scale="80" showPageBreaks="1" printArea="1" hiddenColumns="1" view="pageBreakPreview">
      <pane xSplit="1" ySplit="3" topLeftCell="B22" activePane="bottomRight" state="frozen"/>
      <selection pane="bottomRight" activeCell="F26" sqref="F26"/>
      <rowBreaks count="1" manualBreakCount="1">
        <brk id="46" max="6" man="1"/>
      </rowBreaks>
      <pageMargins left="0.51181102362204722" right="0.15748031496062992" top="0.39370078740157483" bottom="0.15748031496062992" header="0.15748031496062992" footer="0.15748031496062992"/>
      <printOptions horizontalCentered="1"/>
      <pageSetup paperSize="9" scale="75" fitToHeight="0" orientation="landscape" r:id="rId2"/>
      <headerFooter alignWithMargins="0"/>
    </customSheetView>
    <customSheetView guid="{0E91F95C-B82B-4A7A-9432-6E8B0967BE54}" showPageBreaks="1" printArea="1" view="pageBreakPreview">
      <pane xSplit="1" ySplit="3" topLeftCell="B43" activePane="bottomRight" state="frozen"/>
      <selection pane="bottomRight" activeCell="G9" sqref="G9"/>
      <rowBreaks count="1" manualBreakCount="1">
        <brk id="39" max="2" man="1"/>
      </rowBreaks>
      <pageMargins left="0.51181102362204722" right="0.15748031496062992" top="0.39370078740157483" bottom="0.15748031496062992" header="0.15748031496062992" footer="0.15748031496062992"/>
      <printOptions horizontalCentered="1"/>
      <pageSetup paperSize="9" scale="80" fitToHeight="0" orientation="portrait" r:id="rId3"/>
      <headerFooter alignWithMargins="0"/>
    </customSheetView>
  </customSheetViews>
  <mergeCells count="2">
    <mergeCell ref="A1:B1"/>
    <mergeCell ref="A75:B75"/>
  </mergeCells>
  <printOptions horizontalCentered="1"/>
  <pageMargins left="0.51181102362204722" right="0.15748031496062992" top="0.39370078740157483" bottom="0.15748031496062992" header="0.15748031496062992" footer="0.15748031496062992"/>
  <pageSetup paperSize="9" scale="75" fitToHeight="0" orientation="portrait" r:id="rId4"/>
  <headerFooter alignWithMargins="0"/>
  <rowBreaks count="1" manualBreakCount="1">
    <brk id="42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view="pageBreakPreview" zoomScaleSheetLayoutView="100" workbookViewId="0">
      <pane xSplit="1" ySplit="3" topLeftCell="B70" activePane="bottomRight" state="frozen"/>
      <selection pane="topRight" activeCell="B1" sqref="B1"/>
      <selection pane="bottomLeft" activeCell="A4" sqref="A4"/>
      <selection pane="bottomRight" activeCell="B66" sqref="B66"/>
    </sheetView>
  </sheetViews>
  <sheetFormatPr defaultRowHeight="15.75" x14ac:dyDescent="0.25"/>
  <cols>
    <col min="1" max="1" width="69" style="31" customWidth="1"/>
    <col min="2" max="2" width="16.5703125" style="31" customWidth="1"/>
    <col min="3" max="3" width="15.5703125" style="86" customWidth="1"/>
    <col min="4" max="4" width="13.85546875" style="3" bestFit="1" customWidth="1"/>
    <col min="5" max="5" width="14.28515625" style="3" bestFit="1" customWidth="1"/>
    <col min="6" max="6" width="24.7109375" style="3" customWidth="1"/>
    <col min="7" max="7" width="10.140625" style="3" customWidth="1"/>
    <col min="8" max="16384" width="9.140625" style="3"/>
  </cols>
  <sheetData>
    <row r="1" spans="1:13" s="1" customFormat="1" ht="33.75" customHeight="1" x14ac:dyDescent="0.25">
      <c r="A1" s="149" t="s">
        <v>104</v>
      </c>
      <c r="B1" s="149"/>
      <c r="C1" s="149"/>
      <c r="D1" s="92"/>
    </row>
    <row r="2" spans="1:13" ht="13.5" customHeight="1" x14ac:dyDescent="0.25">
      <c r="A2" s="93"/>
      <c r="B2" s="93"/>
      <c r="C2" s="33" t="s">
        <v>48</v>
      </c>
      <c r="D2" s="15"/>
    </row>
    <row r="3" spans="1:13" s="6" customFormat="1" ht="48.75" customHeight="1" x14ac:dyDescent="0.2">
      <c r="A3" s="94" t="s">
        <v>0</v>
      </c>
      <c r="B3" s="96" t="s">
        <v>105</v>
      </c>
      <c r="C3" s="34" t="s">
        <v>98</v>
      </c>
      <c r="D3" s="9"/>
    </row>
    <row r="4" spans="1:13" s="95" customFormat="1" x14ac:dyDescent="0.2">
      <c r="A4" s="7" t="s">
        <v>39</v>
      </c>
      <c r="B4" s="99"/>
      <c r="C4" s="97"/>
      <c r="D4" s="9"/>
      <c r="E4" s="10"/>
    </row>
    <row r="5" spans="1:13" s="23" customFormat="1" x14ac:dyDescent="0.25">
      <c r="A5" s="7" t="s">
        <v>1</v>
      </c>
      <c r="B5" s="102">
        <f>B6+B9+B13+B15+B19+B22+B24+B25+B28+B30+B26+B27+B29+B23</f>
        <v>16446599.6</v>
      </c>
      <c r="C5" s="102">
        <f>C6+C9+C13+C15+C19+C22+C24+C25+C28+C30+C26+C27+C29</f>
        <v>31189535.899999999</v>
      </c>
      <c r="D5" s="100"/>
      <c r="E5" s="101"/>
      <c r="F5" s="62"/>
      <c r="G5" s="21"/>
      <c r="H5" s="21"/>
      <c r="I5" s="21"/>
      <c r="J5" s="21"/>
      <c r="K5" s="21"/>
      <c r="L5" s="21"/>
      <c r="M5" s="25"/>
    </row>
    <row r="6" spans="1:13" s="15" customFormat="1" x14ac:dyDescent="0.25">
      <c r="A6" s="20" t="s">
        <v>2</v>
      </c>
      <c r="B6" s="103">
        <v>9110102.1999999993</v>
      </c>
      <c r="C6" s="104">
        <f>C7+C8</f>
        <v>18974727.300000001</v>
      </c>
      <c r="D6" s="84"/>
      <c r="E6" s="101"/>
      <c r="F6" s="63"/>
      <c r="G6" s="19"/>
      <c r="H6" s="19"/>
      <c r="I6" s="19"/>
      <c r="J6" s="19"/>
      <c r="K6" s="19"/>
      <c r="L6" s="19"/>
      <c r="M6" s="19"/>
    </row>
    <row r="7" spans="1:13" s="15" customFormat="1" x14ac:dyDescent="0.25">
      <c r="A7" s="56" t="s">
        <v>3</v>
      </c>
      <c r="B7" s="103">
        <v>3125675.92</v>
      </c>
      <c r="C7" s="103">
        <v>8913527.3000000007</v>
      </c>
      <c r="D7" s="84"/>
      <c r="E7" s="101"/>
      <c r="F7" s="66"/>
      <c r="G7" s="19"/>
      <c r="H7" s="19"/>
      <c r="I7" s="19"/>
      <c r="J7" s="19"/>
      <c r="K7" s="19"/>
      <c r="L7" s="19"/>
      <c r="M7" s="19"/>
    </row>
    <row r="8" spans="1:13" s="15" customFormat="1" x14ac:dyDescent="0.25">
      <c r="A8" s="56" t="s">
        <v>4</v>
      </c>
      <c r="B8" s="103">
        <v>5984426.2000000002</v>
      </c>
      <c r="C8" s="103">
        <v>10061200</v>
      </c>
      <c r="D8" s="84"/>
      <c r="E8" s="101"/>
      <c r="F8" s="66"/>
      <c r="G8" s="19"/>
      <c r="H8" s="19"/>
      <c r="I8" s="19"/>
      <c r="J8" s="19"/>
      <c r="K8" s="19"/>
      <c r="L8" s="19"/>
      <c r="M8" s="19"/>
    </row>
    <row r="9" spans="1:13" s="15" customFormat="1" ht="34.5" customHeight="1" x14ac:dyDescent="0.25">
      <c r="A9" s="20" t="s">
        <v>5</v>
      </c>
      <c r="B9" s="103">
        <v>2845779.48</v>
      </c>
      <c r="C9" s="104">
        <v>4959462</v>
      </c>
      <c r="D9" s="84"/>
      <c r="E9" s="101"/>
      <c r="F9" s="63"/>
      <c r="G9" s="19"/>
      <c r="H9" s="19"/>
      <c r="I9" s="19"/>
      <c r="J9" s="19"/>
      <c r="K9" s="19"/>
      <c r="L9" s="19"/>
      <c r="M9" s="19"/>
    </row>
    <row r="10" spans="1:13" s="15" customFormat="1" x14ac:dyDescent="0.25">
      <c r="A10" s="56" t="s">
        <v>6</v>
      </c>
      <c r="B10" s="103">
        <v>2845779.5</v>
      </c>
      <c r="C10" s="104">
        <v>4959462</v>
      </c>
      <c r="D10" s="84"/>
      <c r="E10" s="101"/>
      <c r="F10" s="63"/>
      <c r="G10" s="19"/>
      <c r="H10" s="19"/>
      <c r="I10" s="19"/>
      <c r="J10" s="19"/>
      <c r="K10" s="19"/>
      <c r="L10" s="19"/>
      <c r="M10" s="19"/>
    </row>
    <row r="11" spans="1:13" s="15" customFormat="1" ht="31.5" x14ac:dyDescent="0.25">
      <c r="A11" s="56" t="s">
        <v>103</v>
      </c>
      <c r="B11" s="103">
        <v>434942.6</v>
      </c>
      <c r="C11" s="104">
        <v>772565.5</v>
      </c>
      <c r="D11" s="84"/>
      <c r="E11" s="101"/>
      <c r="F11" s="66"/>
      <c r="G11" s="19"/>
      <c r="H11" s="19"/>
      <c r="I11" s="19"/>
      <c r="J11" s="19"/>
      <c r="K11" s="19"/>
      <c r="L11" s="19"/>
      <c r="M11" s="19"/>
    </row>
    <row r="12" spans="1:13" s="15" customFormat="1" ht="47.25" x14ac:dyDescent="0.25">
      <c r="A12" s="56" t="s">
        <v>102</v>
      </c>
      <c r="B12" s="103">
        <v>2399312.4</v>
      </c>
      <c r="C12" s="104">
        <v>4186896.5</v>
      </c>
      <c r="D12" s="84"/>
      <c r="E12" s="101"/>
      <c r="F12" s="63"/>
      <c r="G12" s="19"/>
      <c r="H12" s="19"/>
      <c r="I12" s="19"/>
      <c r="J12" s="19"/>
      <c r="K12" s="19"/>
      <c r="L12" s="19"/>
      <c r="M12" s="19"/>
    </row>
    <row r="13" spans="1:13" s="15" customFormat="1" x14ac:dyDescent="0.25">
      <c r="A13" s="20" t="s">
        <v>7</v>
      </c>
      <c r="B13" s="103">
        <v>1270558.74</v>
      </c>
      <c r="C13" s="104">
        <f>C14</f>
        <v>1897000</v>
      </c>
      <c r="D13" s="84"/>
      <c r="E13" s="101"/>
      <c r="F13" s="63"/>
      <c r="G13" s="19"/>
      <c r="H13" s="19"/>
      <c r="I13" s="19"/>
      <c r="J13" s="19"/>
      <c r="K13" s="19"/>
      <c r="L13" s="19"/>
      <c r="M13" s="19"/>
    </row>
    <row r="14" spans="1:13" s="15" customFormat="1" ht="31.5" x14ac:dyDescent="0.25">
      <c r="A14" s="56" t="s">
        <v>36</v>
      </c>
      <c r="B14" s="103">
        <v>1270558.8899999999</v>
      </c>
      <c r="C14" s="103">
        <v>1897000</v>
      </c>
      <c r="D14" s="84"/>
      <c r="E14" s="101"/>
      <c r="F14" s="66"/>
      <c r="G14" s="19"/>
      <c r="H14" s="19"/>
      <c r="I14" s="19"/>
      <c r="J14" s="19"/>
      <c r="K14" s="19"/>
      <c r="L14" s="19"/>
      <c r="M14" s="19"/>
    </row>
    <row r="15" spans="1:13" s="15" customFormat="1" x14ac:dyDescent="0.25">
      <c r="A15" s="20" t="s">
        <v>9</v>
      </c>
      <c r="B15" s="103">
        <v>1662691.24</v>
      </c>
      <c r="C15" s="104">
        <f>C16+C17+C18</f>
        <v>2714686.6</v>
      </c>
      <c r="D15" s="84"/>
      <c r="E15" s="101"/>
      <c r="F15" s="63"/>
      <c r="G15" s="19"/>
      <c r="H15" s="19"/>
      <c r="I15" s="19"/>
      <c r="J15" s="19"/>
      <c r="K15" s="19"/>
      <c r="L15" s="19"/>
      <c r="M15" s="19"/>
    </row>
    <row r="16" spans="1:13" s="15" customFormat="1" x14ac:dyDescent="0.25">
      <c r="A16" s="56" t="s">
        <v>10</v>
      </c>
      <c r="B16" s="103">
        <v>1404782.17</v>
      </c>
      <c r="C16" s="103">
        <v>1850000</v>
      </c>
      <c r="D16" s="84"/>
      <c r="E16" s="101"/>
      <c r="F16" s="66"/>
      <c r="G16" s="19"/>
      <c r="H16" s="19"/>
      <c r="I16" s="19"/>
      <c r="J16" s="19"/>
      <c r="K16" s="19"/>
      <c r="L16" s="19"/>
      <c r="M16" s="19"/>
    </row>
    <row r="17" spans="1:13" s="15" customFormat="1" x14ac:dyDescent="0.25">
      <c r="A17" s="56" t="s">
        <v>11</v>
      </c>
      <c r="B17" s="103">
        <v>256767.97</v>
      </c>
      <c r="C17" s="103">
        <v>862836.6</v>
      </c>
      <c r="D17" s="84"/>
      <c r="E17" s="101"/>
      <c r="F17" s="66"/>
      <c r="G17" s="19"/>
      <c r="H17" s="19"/>
      <c r="I17" s="19"/>
      <c r="J17" s="19"/>
      <c r="K17" s="19"/>
      <c r="L17" s="19"/>
      <c r="M17" s="19"/>
    </row>
    <row r="18" spans="1:13" s="15" customFormat="1" x14ac:dyDescent="0.25">
      <c r="A18" s="56" t="s">
        <v>12</v>
      </c>
      <c r="B18" s="103">
        <v>1141.0999999999999</v>
      </c>
      <c r="C18" s="103">
        <v>1850</v>
      </c>
      <c r="D18" s="84"/>
      <c r="E18" s="101"/>
      <c r="F18" s="66"/>
      <c r="G18" s="19"/>
      <c r="H18" s="19"/>
      <c r="I18" s="19"/>
      <c r="J18" s="19"/>
      <c r="K18" s="19"/>
      <c r="L18" s="19"/>
      <c r="M18" s="19"/>
    </row>
    <row r="19" spans="1:13" s="15" customFormat="1" ht="31.5" x14ac:dyDescent="0.25">
      <c r="A19" s="20" t="s">
        <v>13</v>
      </c>
      <c r="B19" s="103">
        <v>468908</v>
      </c>
      <c r="C19" s="103">
        <f>C20+C21</f>
        <v>762400</v>
      </c>
      <c r="D19" s="84"/>
      <c r="E19" s="101"/>
      <c r="F19" s="63"/>
      <c r="G19" s="19"/>
      <c r="H19" s="19"/>
      <c r="I19" s="19"/>
      <c r="J19" s="19"/>
      <c r="K19" s="19"/>
      <c r="L19" s="19"/>
      <c r="M19" s="19"/>
    </row>
    <row r="20" spans="1:13" s="15" customFormat="1" x14ac:dyDescent="0.25">
      <c r="A20" s="56" t="s">
        <v>14</v>
      </c>
      <c r="B20" s="103">
        <v>449231.1</v>
      </c>
      <c r="C20" s="103">
        <v>717100</v>
      </c>
      <c r="D20" s="84"/>
      <c r="E20" s="101"/>
      <c r="F20" s="66"/>
      <c r="G20" s="19"/>
      <c r="H20" s="19"/>
      <c r="I20" s="19"/>
      <c r="J20" s="19"/>
      <c r="K20" s="19"/>
      <c r="L20" s="19"/>
      <c r="M20" s="19"/>
    </row>
    <row r="21" spans="1:13" s="15" customFormat="1" ht="31.5" x14ac:dyDescent="0.25">
      <c r="A21" s="56" t="s">
        <v>15</v>
      </c>
      <c r="B21" s="103">
        <v>19677</v>
      </c>
      <c r="C21" s="103">
        <v>45300</v>
      </c>
      <c r="D21" s="84"/>
      <c r="E21" s="101"/>
      <c r="F21" s="66"/>
      <c r="G21" s="19"/>
      <c r="H21" s="19"/>
      <c r="I21" s="19"/>
      <c r="J21" s="19"/>
      <c r="K21" s="19"/>
      <c r="L21" s="19"/>
      <c r="M21" s="19"/>
    </row>
    <row r="22" spans="1:13" s="15" customFormat="1" x14ac:dyDescent="0.25">
      <c r="A22" s="20" t="s">
        <v>79</v>
      </c>
      <c r="B22" s="103">
        <v>46445.14</v>
      </c>
      <c r="C22" s="103">
        <v>128300</v>
      </c>
      <c r="D22" s="84"/>
      <c r="E22" s="101"/>
      <c r="F22" s="66"/>
      <c r="G22" s="19"/>
      <c r="H22" s="19"/>
      <c r="I22" s="19"/>
      <c r="J22" s="19"/>
      <c r="K22" s="19"/>
      <c r="L22" s="19"/>
      <c r="M22" s="19"/>
    </row>
    <row r="23" spans="1:13" s="81" customFormat="1" ht="31.5" x14ac:dyDescent="0.25">
      <c r="A23" s="20" t="s">
        <v>16</v>
      </c>
      <c r="B23" s="103">
        <v>95.13</v>
      </c>
      <c r="C23" s="103" t="s">
        <v>93</v>
      </c>
      <c r="D23" s="84"/>
      <c r="E23" s="101"/>
      <c r="F23" s="80"/>
      <c r="G23" s="79"/>
      <c r="H23" s="79"/>
      <c r="I23" s="79"/>
      <c r="J23" s="79"/>
      <c r="K23" s="79"/>
      <c r="L23" s="79"/>
      <c r="M23" s="79"/>
    </row>
    <row r="24" spans="1:13" s="15" customFormat="1" ht="32.25" customHeight="1" x14ac:dyDescent="0.25">
      <c r="A24" s="20" t="s">
        <v>17</v>
      </c>
      <c r="B24" s="103">
        <v>64602.45</v>
      </c>
      <c r="C24" s="103">
        <v>130700</v>
      </c>
      <c r="D24" s="84"/>
      <c r="E24" s="101"/>
      <c r="F24" s="66"/>
      <c r="G24" s="19"/>
      <c r="H24" s="19"/>
      <c r="I24" s="19"/>
      <c r="J24" s="19"/>
      <c r="K24" s="19"/>
      <c r="L24" s="19"/>
      <c r="M24" s="19"/>
    </row>
    <row r="25" spans="1:13" s="15" customFormat="1" ht="15.75" customHeight="1" x14ac:dyDescent="0.25">
      <c r="A25" s="20" t="s">
        <v>18</v>
      </c>
      <c r="B25" s="103">
        <v>710572.58</v>
      </c>
      <c r="C25" s="103">
        <v>1062300</v>
      </c>
      <c r="D25" s="84"/>
      <c r="E25" s="101"/>
      <c r="F25" s="66"/>
      <c r="G25" s="19"/>
      <c r="H25" s="19"/>
      <c r="I25" s="19"/>
      <c r="J25" s="19"/>
      <c r="K25" s="19"/>
      <c r="L25" s="19"/>
      <c r="M25" s="19"/>
    </row>
    <row r="26" spans="1:13" s="15" customFormat="1" ht="31.5" x14ac:dyDescent="0.25">
      <c r="A26" s="20" t="s">
        <v>76</v>
      </c>
      <c r="B26" s="103">
        <v>40680.26</v>
      </c>
      <c r="C26" s="103">
        <v>11400</v>
      </c>
      <c r="D26" s="84"/>
      <c r="E26" s="101"/>
      <c r="F26" s="66"/>
      <c r="G26" s="19"/>
      <c r="H26" s="19"/>
      <c r="I26" s="19"/>
      <c r="J26" s="19"/>
      <c r="K26" s="19"/>
      <c r="L26" s="19"/>
      <c r="M26" s="19"/>
    </row>
    <row r="27" spans="1:13" s="15" customFormat="1" ht="31.5" x14ac:dyDescent="0.25">
      <c r="A27" s="20" t="s">
        <v>78</v>
      </c>
      <c r="B27" s="103">
        <v>10107.68</v>
      </c>
      <c r="C27" s="103">
        <v>335000</v>
      </c>
      <c r="D27" s="84"/>
      <c r="E27" s="101"/>
      <c r="F27" s="66"/>
      <c r="G27" s="19"/>
      <c r="H27" s="19"/>
      <c r="I27" s="19"/>
      <c r="J27" s="19"/>
      <c r="K27" s="19"/>
      <c r="L27" s="19"/>
      <c r="M27" s="19"/>
    </row>
    <row r="28" spans="1:13" s="15" customFormat="1" x14ac:dyDescent="0.25">
      <c r="A28" s="20" t="s">
        <v>19</v>
      </c>
      <c r="B28" s="103">
        <v>257.77</v>
      </c>
      <c r="C28" s="103">
        <v>860</v>
      </c>
      <c r="D28" s="84"/>
      <c r="E28" s="101"/>
      <c r="F28" s="66"/>
      <c r="G28" s="19"/>
      <c r="H28" s="19"/>
      <c r="I28" s="19"/>
      <c r="J28" s="19"/>
      <c r="K28" s="19"/>
      <c r="L28" s="19"/>
      <c r="M28" s="19"/>
    </row>
    <row r="29" spans="1:13" s="15" customFormat="1" x14ac:dyDescent="0.25">
      <c r="A29" s="20" t="s">
        <v>20</v>
      </c>
      <c r="B29" s="103">
        <v>215645.94</v>
      </c>
      <c r="C29" s="103">
        <v>212700</v>
      </c>
      <c r="D29" s="84"/>
      <c r="E29" s="101"/>
      <c r="F29" s="66"/>
      <c r="G29" s="19"/>
      <c r="H29" s="19"/>
      <c r="I29" s="19"/>
      <c r="J29" s="19"/>
      <c r="K29" s="19"/>
      <c r="L29" s="19"/>
      <c r="M29" s="19"/>
    </row>
    <row r="30" spans="1:13" s="81" customFormat="1" x14ac:dyDescent="0.25">
      <c r="A30" s="20" t="s">
        <v>94</v>
      </c>
      <c r="B30" s="103">
        <v>153.03</v>
      </c>
      <c r="C30" s="103">
        <v>0</v>
      </c>
      <c r="D30" s="84"/>
      <c r="E30" s="101"/>
      <c r="F30" s="80"/>
      <c r="G30" s="79"/>
      <c r="H30" s="79"/>
      <c r="I30" s="79"/>
      <c r="J30" s="79"/>
      <c r="K30" s="79"/>
      <c r="L30" s="79"/>
      <c r="M30" s="79"/>
    </row>
    <row r="31" spans="1:13" s="23" customFormat="1" x14ac:dyDescent="0.25">
      <c r="A31" s="7" t="s">
        <v>22</v>
      </c>
      <c r="B31" s="102">
        <f>B32+B40+B44+B45+B43</f>
        <v>18172157.899999999</v>
      </c>
      <c r="C31" s="102">
        <f>C32+C40+C43+C44+C45+C41</f>
        <v>34800636.100000001</v>
      </c>
      <c r="D31" s="84"/>
      <c r="E31" s="101"/>
      <c r="F31" s="62"/>
      <c r="G31" s="21"/>
      <c r="H31" s="21"/>
      <c r="I31" s="21"/>
      <c r="J31" s="21"/>
      <c r="K31" s="21"/>
      <c r="L31" s="21"/>
      <c r="M31" s="25"/>
    </row>
    <row r="32" spans="1:13" s="15" customFormat="1" ht="33" customHeight="1" x14ac:dyDescent="0.25">
      <c r="A32" s="20" t="s">
        <v>37</v>
      </c>
      <c r="B32" s="104">
        <f>B33+B37+B38+B39</f>
        <v>17928875.5</v>
      </c>
      <c r="C32" s="104">
        <f>C33+C37+C38+C39</f>
        <v>33797354.899999999</v>
      </c>
      <c r="D32" s="84"/>
      <c r="E32" s="101"/>
      <c r="F32" s="63"/>
      <c r="G32" s="13"/>
      <c r="H32" s="13"/>
      <c r="I32" s="19"/>
      <c r="J32" s="19"/>
      <c r="K32" s="19"/>
      <c r="L32" s="19"/>
      <c r="M32" s="19"/>
    </row>
    <row r="33" spans="1:13" s="15" customFormat="1" ht="31.5" x14ac:dyDescent="0.25">
      <c r="A33" s="20" t="s">
        <v>23</v>
      </c>
      <c r="B33" s="103">
        <v>10208133.4</v>
      </c>
      <c r="C33" s="104">
        <v>13900070</v>
      </c>
      <c r="D33" s="84"/>
      <c r="E33" s="101"/>
      <c r="F33" s="63"/>
      <c r="G33" s="19"/>
      <c r="H33" s="19"/>
      <c r="I33" s="19"/>
      <c r="J33" s="19"/>
      <c r="K33" s="19"/>
      <c r="L33" s="19"/>
      <c r="M33" s="19"/>
    </row>
    <row r="34" spans="1:13" s="15" customFormat="1" x14ac:dyDescent="0.25">
      <c r="A34" s="56" t="s">
        <v>69</v>
      </c>
      <c r="B34" s="103">
        <v>5140000</v>
      </c>
      <c r="C34" s="103">
        <v>7709643.5999999996</v>
      </c>
      <c r="D34" s="84"/>
      <c r="E34" s="101"/>
      <c r="F34" s="66"/>
      <c r="G34" s="19"/>
      <c r="H34" s="19"/>
      <c r="I34" s="19"/>
      <c r="J34" s="19"/>
      <c r="K34" s="19"/>
      <c r="L34" s="19"/>
      <c r="M34" s="19"/>
    </row>
    <row r="35" spans="1:13" s="15" customFormat="1" x14ac:dyDescent="0.25">
      <c r="A35" s="56" t="s">
        <v>97</v>
      </c>
      <c r="B35" s="103">
        <v>3929272.7</v>
      </c>
      <c r="C35" s="103">
        <v>4951586.4000000004</v>
      </c>
      <c r="D35" s="84"/>
      <c r="E35" s="101"/>
      <c r="F35" s="66"/>
      <c r="G35" s="19"/>
      <c r="H35" s="19"/>
      <c r="I35" s="19"/>
      <c r="J35" s="19"/>
      <c r="K35" s="19"/>
      <c r="L35" s="19"/>
      <c r="M35" s="19"/>
    </row>
    <row r="36" spans="1:13" s="15" customFormat="1" ht="33.75" customHeight="1" x14ac:dyDescent="0.25">
      <c r="A36" s="56" t="s">
        <v>95</v>
      </c>
      <c r="B36" s="103">
        <v>825896</v>
      </c>
      <c r="C36" s="103">
        <v>1238840</v>
      </c>
      <c r="D36" s="84"/>
      <c r="E36" s="101"/>
      <c r="F36" s="66"/>
      <c r="G36" s="19"/>
      <c r="H36" s="19"/>
      <c r="I36" s="19"/>
      <c r="J36" s="19"/>
      <c r="K36" s="19"/>
      <c r="L36" s="19"/>
      <c r="M36" s="19"/>
    </row>
    <row r="37" spans="1:13" s="15" customFormat="1" ht="31.5" x14ac:dyDescent="0.25">
      <c r="A37" s="56" t="s">
        <v>24</v>
      </c>
      <c r="B37" s="103">
        <v>3968941.82</v>
      </c>
      <c r="C37" s="103">
        <v>11321368.199999999</v>
      </c>
      <c r="D37" s="84"/>
      <c r="E37" s="101"/>
      <c r="F37" s="66"/>
      <c r="G37" s="19"/>
      <c r="H37" s="19"/>
      <c r="I37" s="19"/>
      <c r="J37" s="19"/>
      <c r="K37" s="19"/>
      <c r="L37" s="19"/>
      <c r="M37" s="19"/>
    </row>
    <row r="38" spans="1:13" s="15" customFormat="1" ht="31.5" x14ac:dyDescent="0.25">
      <c r="A38" s="56" t="s">
        <v>25</v>
      </c>
      <c r="B38" s="103">
        <v>2500960.66</v>
      </c>
      <c r="C38" s="103">
        <v>3739950.6</v>
      </c>
      <c r="D38" s="84"/>
      <c r="E38" s="101"/>
      <c r="F38" s="66"/>
      <c r="G38" s="19"/>
      <c r="H38" s="19"/>
      <c r="I38" s="19"/>
      <c r="J38" s="19"/>
      <c r="K38" s="19"/>
      <c r="L38" s="19"/>
      <c r="M38" s="19"/>
    </row>
    <row r="39" spans="1:13" s="15" customFormat="1" x14ac:dyDescent="0.25">
      <c r="A39" s="56" t="s">
        <v>26</v>
      </c>
      <c r="B39" s="103">
        <v>1250839.58</v>
      </c>
      <c r="C39" s="103">
        <v>4835966.0999999996</v>
      </c>
      <c r="D39" s="84"/>
      <c r="E39" s="101"/>
      <c r="F39" s="66"/>
      <c r="G39" s="19"/>
      <c r="H39" s="19"/>
      <c r="I39" s="19"/>
      <c r="J39" s="19"/>
      <c r="K39" s="19"/>
      <c r="L39" s="19"/>
      <c r="M39" s="19"/>
    </row>
    <row r="40" spans="1:13" s="15" customFormat="1" ht="31.5" x14ac:dyDescent="0.25">
      <c r="A40" s="20" t="s">
        <v>99</v>
      </c>
      <c r="B40" s="103">
        <v>215308.3</v>
      </c>
      <c r="C40" s="103">
        <f>946760.4+44119.8</f>
        <v>990880.2</v>
      </c>
      <c r="D40" s="84"/>
      <c r="E40" s="101"/>
      <c r="F40" s="66"/>
      <c r="G40" s="19"/>
      <c r="H40" s="19"/>
      <c r="I40" s="19"/>
      <c r="J40" s="19"/>
      <c r="K40" s="19"/>
      <c r="L40" s="19"/>
      <c r="M40" s="19"/>
    </row>
    <row r="41" spans="1:13" s="15" customFormat="1" ht="31.5" hidden="1" x14ac:dyDescent="0.25">
      <c r="A41" s="20" t="s">
        <v>38</v>
      </c>
      <c r="B41" s="103">
        <v>0</v>
      </c>
      <c r="C41" s="110">
        <v>0</v>
      </c>
      <c r="D41" s="84"/>
      <c r="E41" s="101"/>
      <c r="F41" s="63"/>
      <c r="G41" s="19"/>
      <c r="H41" s="19"/>
      <c r="I41" s="19"/>
      <c r="J41" s="19"/>
      <c r="K41" s="19"/>
      <c r="L41" s="19"/>
      <c r="M41" s="19"/>
    </row>
    <row r="42" spans="1:13" s="15" customFormat="1" hidden="1" x14ac:dyDescent="0.25">
      <c r="A42" s="20" t="s">
        <v>42</v>
      </c>
      <c r="B42" s="103">
        <v>0</v>
      </c>
      <c r="C42" s="110">
        <v>0</v>
      </c>
      <c r="D42" s="84"/>
      <c r="E42" s="101"/>
      <c r="F42" s="63"/>
      <c r="G42" s="19"/>
      <c r="H42" s="19"/>
      <c r="I42" s="19"/>
      <c r="J42" s="19"/>
      <c r="K42" s="19"/>
      <c r="L42" s="19"/>
      <c r="M42" s="19"/>
    </row>
    <row r="43" spans="1:13" s="15" customFormat="1" x14ac:dyDescent="0.25">
      <c r="A43" s="20" t="s">
        <v>72</v>
      </c>
      <c r="B43" s="103">
        <v>288.3</v>
      </c>
      <c r="C43" s="103">
        <v>0</v>
      </c>
      <c r="D43" s="84"/>
      <c r="E43" s="101"/>
      <c r="F43" s="66"/>
      <c r="G43" s="19"/>
      <c r="H43" s="19"/>
      <c r="I43" s="19"/>
      <c r="J43" s="19"/>
      <c r="K43" s="19"/>
      <c r="L43" s="19"/>
      <c r="M43" s="19"/>
    </row>
    <row r="44" spans="1:13" s="23" customFormat="1" ht="94.5" x14ac:dyDescent="0.25">
      <c r="A44" s="20" t="s">
        <v>100</v>
      </c>
      <c r="B44" s="103">
        <v>57534.5</v>
      </c>
      <c r="C44" s="103">
        <v>57534.6</v>
      </c>
      <c r="D44" s="84"/>
      <c r="E44" s="101"/>
      <c r="F44" s="66"/>
      <c r="G44" s="25"/>
      <c r="H44" s="25"/>
      <c r="I44" s="25"/>
      <c r="J44" s="25"/>
      <c r="K44" s="25"/>
      <c r="L44" s="25"/>
      <c r="M44" s="25"/>
    </row>
    <row r="45" spans="1:13" s="23" customFormat="1" ht="47.25" x14ac:dyDescent="0.25">
      <c r="A45" s="85" t="s">
        <v>101</v>
      </c>
      <c r="B45" s="103">
        <v>-29848.68</v>
      </c>
      <c r="C45" s="103">
        <v>-45133.599999999999</v>
      </c>
      <c r="D45" s="84"/>
      <c r="E45" s="101"/>
      <c r="F45" s="63"/>
      <c r="G45" s="25"/>
      <c r="H45" s="25"/>
      <c r="I45" s="25"/>
      <c r="J45" s="25"/>
      <c r="K45" s="25"/>
      <c r="L45" s="25"/>
      <c r="M45" s="25"/>
    </row>
    <row r="46" spans="1:13" s="23" customFormat="1" x14ac:dyDescent="0.25">
      <c r="A46" s="7" t="s">
        <v>49</v>
      </c>
      <c r="B46" s="106">
        <f>B31+B5</f>
        <v>34618757.5</v>
      </c>
      <c r="C46" s="106">
        <f>C5+C31</f>
        <v>65990172</v>
      </c>
      <c r="D46" s="84"/>
      <c r="E46" s="101"/>
      <c r="F46" s="71"/>
      <c r="G46" s="21"/>
      <c r="H46" s="21"/>
      <c r="I46" s="21"/>
      <c r="J46" s="21"/>
      <c r="K46" s="21"/>
      <c r="L46" s="21"/>
      <c r="M46" s="25"/>
    </row>
    <row r="47" spans="1:13" s="23" customFormat="1" x14ac:dyDescent="0.25">
      <c r="A47" s="7" t="s">
        <v>40</v>
      </c>
      <c r="B47" s="107"/>
      <c r="C47" s="109"/>
      <c r="D47" s="84"/>
      <c r="E47" s="101"/>
      <c r="F47" s="72"/>
      <c r="G47" s="25"/>
      <c r="H47" s="25"/>
      <c r="I47" s="25"/>
      <c r="J47" s="25"/>
      <c r="K47" s="25"/>
      <c r="L47" s="25"/>
      <c r="M47" s="25"/>
    </row>
    <row r="48" spans="1:13" s="15" customFormat="1" x14ac:dyDescent="0.25">
      <c r="A48" s="20" t="s">
        <v>50</v>
      </c>
      <c r="B48" s="103">
        <v>1470160.83</v>
      </c>
      <c r="C48" s="104">
        <v>4773471.7</v>
      </c>
      <c r="D48" s="84"/>
      <c r="E48" s="101"/>
      <c r="F48" s="73"/>
      <c r="G48" s="73"/>
      <c r="H48" s="13"/>
      <c r="I48" s="13"/>
      <c r="J48" s="13"/>
      <c r="K48" s="13"/>
      <c r="L48" s="19"/>
      <c r="M48" s="19"/>
    </row>
    <row r="49" spans="1:13" s="15" customFormat="1" x14ac:dyDescent="0.25">
      <c r="A49" s="20" t="s">
        <v>51</v>
      </c>
      <c r="B49" s="103">
        <v>13757.6</v>
      </c>
      <c r="C49" s="104">
        <v>21295.3</v>
      </c>
      <c r="D49" s="84"/>
      <c r="E49" s="101"/>
      <c r="F49" s="73"/>
      <c r="G49" s="73"/>
      <c r="H49" s="13"/>
      <c r="I49" s="13"/>
      <c r="J49" s="13"/>
      <c r="K49" s="13"/>
      <c r="L49" s="19"/>
      <c r="M49" s="19"/>
    </row>
    <row r="50" spans="1:13" s="15" customFormat="1" ht="17.25" customHeight="1" x14ac:dyDescent="0.25">
      <c r="A50" s="20" t="s">
        <v>52</v>
      </c>
      <c r="B50" s="103">
        <v>663205.94999999995</v>
      </c>
      <c r="C50" s="104">
        <v>1039020.7</v>
      </c>
      <c r="D50" s="84"/>
      <c r="E50" s="101"/>
      <c r="F50" s="73"/>
      <c r="G50" s="73"/>
      <c r="H50" s="13"/>
      <c r="I50" s="13"/>
      <c r="J50" s="13"/>
      <c r="K50" s="13"/>
      <c r="L50" s="19"/>
      <c r="M50" s="19"/>
    </row>
    <row r="51" spans="1:13" s="15" customFormat="1" x14ac:dyDescent="0.25">
      <c r="A51" s="20" t="s">
        <v>53</v>
      </c>
      <c r="B51" s="103">
        <v>6708837.2599999998</v>
      </c>
      <c r="C51" s="104">
        <v>15791007.6</v>
      </c>
      <c r="D51" s="73"/>
      <c r="E51" s="101"/>
      <c r="F51" s="73"/>
      <c r="G51" s="73"/>
      <c r="H51" s="13"/>
      <c r="I51" s="13"/>
      <c r="J51" s="13"/>
      <c r="K51" s="13"/>
      <c r="L51" s="19"/>
      <c r="M51" s="19"/>
    </row>
    <row r="52" spans="1:13" s="15" customFormat="1" ht="20.25" customHeight="1" x14ac:dyDescent="0.25">
      <c r="A52" s="20" t="s">
        <v>54</v>
      </c>
      <c r="B52" s="103">
        <v>3031771.4</v>
      </c>
      <c r="C52" s="104">
        <v>8175809.4000000004</v>
      </c>
      <c r="D52" s="84"/>
      <c r="E52" s="101"/>
      <c r="F52" s="73"/>
      <c r="G52" s="73"/>
      <c r="H52" s="13"/>
      <c r="I52" s="13"/>
      <c r="J52" s="13"/>
      <c r="K52" s="13"/>
      <c r="L52" s="19"/>
      <c r="M52" s="19"/>
    </row>
    <row r="53" spans="1:13" s="15" customFormat="1" x14ac:dyDescent="0.25">
      <c r="A53" s="20" t="s">
        <v>55</v>
      </c>
      <c r="B53" s="103">
        <v>1522545.27</v>
      </c>
      <c r="C53" s="104">
        <v>3647524.2</v>
      </c>
      <c r="D53" s="84"/>
      <c r="E53" s="101"/>
      <c r="F53" s="73"/>
      <c r="G53" s="73"/>
      <c r="H53" s="13"/>
      <c r="I53" s="13"/>
      <c r="J53" s="13"/>
      <c r="K53" s="13"/>
      <c r="L53" s="19"/>
      <c r="M53" s="19"/>
    </row>
    <row r="54" spans="1:13" s="15" customFormat="1" x14ac:dyDescent="0.25">
      <c r="A54" s="20" t="s">
        <v>56</v>
      </c>
      <c r="B54" s="103">
        <v>37674.720000000001</v>
      </c>
      <c r="C54" s="104">
        <v>84180.800000000003</v>
      </c>
      <c r="D54" s="84"/>
      <c r="E54" s="101"/>
      <c r="F54" s="73"/>
      <c r="G54" s="73"/>
      <c r="H54" s="13"/>
      <c r="I54" s="13"/>
      <c r="J54" s="13"/>
      <c r="K54" s="13"/>
      <c r="L54" s="19"/>
      <c r="M54" s="19"/>
    </row>
    <row r="55" spans="1:13" s="15" customFormat="1" x14ac:dyDescent="0.25">
      <c r="A55" s="20" t="s">
        <v>57</v>
      </c>
      <c r="B55" s="103">
        <v>6898445.2699999996</v>
      </c>
      <c r="C55" s="104">
        <v>14411504.199999999</v>
      </c>
      <c r="D55" s="84"/>
      <c r="E55" s="101"/>
      <c r="F55" s="73"/>
      <c r="G55" s="73"/>
      <c r="H55" s="13"/>
      <c r="I55" s="13"/>
      <c r="J55" s="13"/>
      <c r="K55" s="13"/>
      <c r="L55" s="19"/>
      <c r="M55" s="19"/>
    </row>
    <row r="56" spans="1:13" s="15" customFormat="1" x14ac:dyDescent="0.25">
      <c r="A56" s="20" t="s">
        <v>58</v>
      </c>
      <c r="B56" s="103">
        <v>1115747.26</v>
      </c>
      <c r="C56" s="104">
        <v>2211928.2999999998</v>
      </c>
      <c r="D56" s="84"/>
      <c r="E56" s="101"/>
      <c r="F56" s="73"/>
      <c r="G56" s="73"/>
      <c r="H56" s="13"/>
      <c r="I56" s="13"/>
      <c r="J56" s="13"/>
      <c r="K56" s="13"/>
      <c r="L56" s="19"/>
      <c r="M56" s="19"/>
    </row>
    <row r="57" spans="1:13" s="15" customFormat="1" x14ac:dyDescent="0.25">
      <c r="A57" s="20" t="s">
        <v>59</v>
      </c>
      <c r="B57" s="103">
        <v>4983765.05</v>
      </c>
      <c r="C57" s="104">
        <v>7132769.7999999998</v>
      </c>
      <c r="D57" s="84"/>
      <c r="E57" s="101"/>
      <c r="F57" s="73"/>
      <c r="G57" s="73"/>
      <c r="H57" s="13"/>
      <c r="I57" s="13"/>
      <c r="J57" s="13"/>
      <c r="K57" s="13"/>
      <c r="L57" s="19"/>
      <c r="M57" s="19"/>
    </row>
    <row r="58" spans="1:13" s="15" customFormat="1" x14ac:dyDescent="0.25">
      <c r="A58" s="20" t="s">
        <v>60</v>
      </c>
      <c r="B58" s="103">
        <v>11471264.48</v>
      </c>
      <c r="C58" s="104">
        <v>17957747</v>
      </c>
      <c r="D58" s="84"/>
      <c r="E58" s="101"/>
      <c r="F58" s="73"/>
      <c r="G58" s="73"/>
      <c r="H58" s="13"/>
      <c r="I58" s="13"/>
      <c r="J58" s="13"/>
      <c r="K58" s="13"/>
      <c r="L58" s="19"/>
      <c r="M58" s="19"/>
    </row>
    <row r="59" spans="1:13" s="15" customFormat="1" x14ac:dyDescent="0.25">
      <c r="A59" s="20" t="s">
        <v>61</v>
      </c>
      <c r="B59" s="103">
        <v>333301.19</v>
      </c>
      <c r="C59" s="104">
        <v>626316.80000000005</v>
      </c>
      <c r="D59" s="84"/>
      <c r="E59" s="101"/>
      <c r="F59" s="73"/>
      <c r="G59" s="73"/>
      <c r="H59" s="13"/>
      <c r="I59" s="13"/>
      <c r="J59" s="13"/>
      <c r="K59" s="13"/>
      <c r="L59" s="19"/>
      <c r="M59" s="19"/>
    </row>
    <row r="60" spans="1:13" s="15" customFormat="1" x14ac:dyDescent="0.25">
      <c r="A60" s="20" t="s">
        <v>62</v>
      </c>
      <c r="B60" s="103">
        <v>110542.8</v>
      </c>
      <c r="C60" s="104">
        <v>167805.8</v>
      </c>
      <c r="D60" s="84"/>
      <c r="E60" s="101"/>
      <c r="F60" s="73"/>
      <c r="G60" s="73"/>
      <c r="H60" s="13"/>
      <c r="I60" s="13"/>
      <c r="J60" s="13"/>
      <c r="K60" s="13"/>
      <c r="L60" s="19"/>
      <c r="M60" s="19"/>
    </row>
    <row r="61" spans="1:13" s="15" customFormat="1" x14ac:dyDescent="0.25">
      <c r="A61" s="20" t="s">
        <v>63</v>
      </c>
      <c r="B61" s="103">
        <v>347439.04</v>
      </c>
      <c r="C61" s="104">
        <v>918617.7</v>
      </c>
      <c r="D61" s="84"/>
      <c r="E61" s="101"/>
      <c r="F61" s="73"/>
      <c r="G61" s="73"/>
      <c r="H61" s="13"/>
      <c r="I61" s="13"/>
      <c r="J61" s="13"/>
      <c r="K61" s="13"/>
      <c r="L61" s="19"/>
      <c r="M61" s="19"/>
    </row>
    <row r="62" spans="1:13" s="15" customFormat="1" ht="33" customHeight="1" x14ac:dyDescent="0.25">
      <c r="A62" s="20" t="s">
        <v>64</v>
      </c>
      <c r="B62" s="103">
        <v>1011428.51</v>
      </c>
      <c r="C62" s="104">
        <v>2956013</v>
      </c>
      <c r="D62" s="84"/>
      <c r="E62" s="101"/>
      <c r="F62" s="73"/>
      <c r="G62" s="73"/>
      <c r="H62" s="13"/>
      <c r="I62" s="13"/>
      <c r="J62" s="13"/>
      <c r="K62" s="13"/>
      <c r="L62" s="19"/>
      <c r="M62" s="19"/>
    </row>
    <row r="63" spans="1:13" s="15" customFormat="1" x14ac:dyDescent="0.25">
      <c r="A63" s="7" t="s">
        <v>65</v>
      </c>
      <c r="B63" s="98">
        <f>B48+B49+B50+B51+B53+B54+B55+B56+B57+B58+B59+B60+B61+B62</f>
        <v>36688115.200000003</v>
      </c>
      <c r="C63" s="102">
        <f>SUM(C48:C51,C53:C62)</f>
        <v>71739202.900000006</v>
      </c>
      <c r="D63" s="73"/>
      <c r="E63" s="101"/>
      <c r="F63" s="62"/>
      <c r="G63" s="27"/>
      <c r="H63" s="27"/>
      <c r="I63" s="27"/>
      <c r="J63" s="13"/>
      <c r="K63" s="13"/>
      <c r="L63" s="19"/>
      <c r="M63" s="19"/>
    </row>
    <row r="64" spans="1:13" s="23" customFormat="1" x14ac:dyDescent="0.25">
      <c r="A64" s="7" t="s">
        <v>96</v>
      </c>
      <c r="B64" s="98">
        <f>B46-B63</f>
        <v>-2069357.7</v>
      </c>
      <c r="C64" s="102">
        <f>C5+C31-C63</f>
        <v>-5749030.9000000004</v>
      </c>
      <c r="D64" s="84"/>
      <c r="E64" s="101"/>
      <c r="F64" s="62"/>
      <c r="G64" s="21"/>
      <c r="H64" s="21"/>
      <c r="I64" s="21"/>
      <c r="J64" s="21"/>
      <c r="K64" s="25"/>
      <c r="L64" s="25"/>
      <c r="M64" s="25"/>
    </row>
    <row r="65" spans="1:13" s="23" customFormat="1" x14ac:dyDescent="0.25">
      <c r="A65" s="58" t="s">
        <v>29</v>
      </c>
      <c r="B65" s="102">
        <f>B66+B67+B68+B69+B75</f>
        <v>2069357.7</v>
      </c>
      <c r="C65" s="102">
        <f>C66+C67+C68+C69+C75</f>
        <v>5749030.9000000004</v>
      </c>
      <c r="D65" s="73"/>
      <c r="E65" s="101"/>
      <c r="F65" s="21"/>
      <c r="G65" s="21"/>
      <c r="H65" s="21"/>
      <c r="I65" s="25"/>
      <c r="J65" s="25"/>
      <c r="K65" s="25"/>
      <c r="L65" s="25"/>
      <c r="M65" s="25"/>
    </row>
    <row r="66" spans="1:13" s="15" customFormat="1" ht="48" customHeight="1" x14ac:dyDescent="0.25">
      <c r="A66" s="76" t="s">
        <v>86</v>
      </c>
      <c r="B66" s="105">
        <v>-300000</v>
      </c>
      <c r="C66" s="103">
        <v>1700000</v>
      </c>
      <c r="D66" s="84"/>
      <c r="E66" s="101"/>
      <c r="F66" s="19"/>
      <c r="G66" s="19"/>
      <c r="H66" s="19"/>
      <c r="I66" s="19"/>
      <c r="J66" s="19"/>
      <c r="K66" s="19"/>
      <c r="L66" s="19"/>
      <c r="M66" s="19"/>
    </row>
    <row r="67" spans="1:13" s="15" customFormat="1" ht="30.75" customHeight="1" x14ac:dyDescent="0.25">
      <c r="A67" s="76" t="s">
        <v>87</v>
      </c>
      <c r="B67" s="105">
        <v>-3664998</v>
      </c>
      <c r="C67" s="103">
        <v>4663446.2</v>
      </c>
      <c r="D67" s="84"/>
      <c r="E67" s="101"/>
      <c r="F67" s="19"/>
      <c r="G67" s="19"/>
      <c r="H67" s="19"/>
      <c r="I67" s="19"/>
      <c r="J67" s="19"/>
      <c r="K67" s="19"/>
      <c r="L67" s="19"/>
      <c r="M67" s="19"/>
    </row>
    <row r="68" spans="1:13" s="15" customFormat="1" ht="31.5" x14ac:dyDescent="0.25">
      <c r="A68" s="76" t="s">
        <v>88</v>
      </c>
      <c r="B68" s="105">
        <v>3750000</v>
      </c>
      <c r="C68" s="103">
        <v>-1120050.2</v>
      </c>
      <c r="D68" s="84"/>
      <c r="E68" s="101"/>
      <c r="F68" s="19"/>
      <c r="G68" s="19"/>
      <c r="H68" s="19"/>
      <c r="I68" s="19"/>
      <c r="J68" s="19"/>
      <c r="K68" s="19"/>
      <c r="L68" s="19"/>
      <c r="M68" s="19"/>
    </row>
    <row r="69" spans="1:13" s="15" customFormat="1" ht="31.5" x14ac:dyDescent="0.25">
      <c r="A69" s="76" t="s">
        <v>89</v>
      </c>
      <c r="B69" s="103">
        <f>B70+B71+B72+B73+B74</f>
        <v>2500677.9</v>
      </c>
      <c r="C69" s="103">
        <f>C71+C72+C73+C74</f>
        <v>88416.3</v>
      </c>
      <c r="D69" s="84"/>
      <c r="E69" s="101"/>
      <c r="F69" s="19"/>
      <c r="G69" s="19"/>
      <c r="H69" s="19"/>
      <c r="I69" s="19"/>
      <c r="J69" s="19"/>
      <c r="K69" s="19"/>
      <c r="L69" s="19"/>
      <c r="M69" s="19"/>
    </row>
    <row r="70" spans="1:13" s="15" customFormat="1" x14ac:dyDescent="0.25">
      <c r="A70" s="108" t="s">
        <v>41</v>
      </c>
      <c r="B70" s="105">
        <v>-4.2</v>
      </c>
      <c r="C70" s="103">
        <v>0</v>
      </c>
      <c r="D70" s="84"/>
      <c r="E70" s="101"/>
      <c r="F70" s="19"/>
      <c r="G70" s="19"/>
      <c r="H70" s="19"/>
      <c r="I70" s="19"/>
      <c r="J70" s="19"/>
      <c r="K70" s="19"/>
      <c r="L70" s="19"/>
      <c r="M70" s="19"/>
    </row>
    <row r="71" spans="1:13" s="15" customFormat="1" ht="31.5" x14ac:dyDescent="0.25">
      <c r="A71" s="77" t="s">
        <v>34</v>
      </c>
      <c r="B71" s="105">
        <v>0</v>
      </c>
      <c r="C71" s="103">
        <v>0</v>
      </c>
      <c r="D71" s="84"/>
      <c r="E71" s="101"/>
      <c r="F71" s="19"/>
      <c r="G71" s="19"/>
      <c r="H71" s="19"/>
      <c r="I71" s="19"/>
      <c r="J71" s="19"/>
      <c r="K71" s="19"/>
      <c r="L71" s="19"/>
      <c r="M71" s="19"/>
    </row>
    <row r="72" spans="1:13" s="15" customFormat="1" ht="31.5" x14ac:dyDescent="0.25">
      <c r="A72" s="56" t="s">
        <v>44</v>
      </c>
      <c r="B72" s="105">
        <v>0</v>
      </c>
      <c r="C72" s="103">
        <v>-60000</v>
      </c>
      <c r="D72" s="84"/>
      <c r="E72" s="101"/>
      <c r="F72" s="19"/>
      <c r="G72" s="19"/>
      <c r="H72" s="19"/>
      <c r="I72" s="19"/>
      <c r="J72" s="19"/>
      <c r="K72" s="19"/>
      <c r="L72" s="19"/>
      <c r="M72" s="19"/>
    </row>
    <row r="73" spans="1:13" s="15" customFormat="1" ht="31.5" x14ac:dyDescent="0.25">
      <c r="A73" s="56" t="s">
        <v>46</v>
      </c>
      <c r="B73" s="105">
        <v>168252.7</v>
      </c>
      <c r="C73" s="103">
        <v>148416.29999999999</v>
      </c>
      <c r="D73" s="84"/>
      <c r="E73" s="101"/>
      <c r="F73" s="19"/>
      <c r="G73" s="19"/>
      <c r="H73" s="19"/>
      <c r="I73" s="19"/>
      <c r="J73" s="19"/>
      <c r="K73" s="19"/>
      <c r="L73" s="19"/>
      <c r="M73" s="19"/>
    </row>
    <row r="74" spans="1:13" s="15" customFormat="1" ht="30.75" customHeight="1" x14ac:dyDescent="0.25">
      <c r="A74" s="56" t="s">
        <v>45</v>
      </c>
      <c r="B74" s="105">
        <v>2332429.4</v>
      </c>
      <c r="C74" s="103">
        <v>0</v>
      </c>
      <c r="D74" s="84"/>
      <c r="E74" s="101"/>
      <c r="F74" s="19"/>
      <c r="G74" s="19"/>
      <c r="H74" s="19"/>
      <c r="I74" s="19"/>
      <c r="J74" s="19"/>
      <c r="K74" s="19"/>
      <c r="L74" s="19"/>
      <c r="M74" s="19"/>
    </row>
    <row r="75" spans="1:13" s="15" customFormat="1" ht="31.5" customHeight="1" x14ac:dyDescent="0.25">
      <c r="A75" s="78" t="s">
        <v>90</v>
      </c>
      <c r="B75" s="105">
        <f>-1*(B64+B66+B67+B68+B69)</f>
        <v>-216322.2</v>
      </c>
      <c r="C75" s="103">
        <v>417218.6</v>
      </c>
      <c r="D75" s="84"/>
      <c r="E75" s="101"/>
      <c r="F75" s="19"/>
      <c r="G75" s="19"/>
      <c r="H75" s="19"/>
      <c r="I75" s="19"/>
      <c r="J75" s="19"/>
      <c r="K75" s="19"/>
      <c r="L75" s="19"/>
      <c r="M75" s="19"/>
    </row>
    <row r="76" spans="1:13" s="15" customFormat="1" ht="45.75" customHeight="1" x14ac:dyDescent="0.25">
      <c r="A76" s="150"/>
      <c r="B76" s="150"/>
      <c r="C76" s="150"/>
      <c r="E76" s="19"/>
      <c r="F76" s="19"/>
      <c r="G76" s="19"/>
      <c r="H76" s="19"/>
      <c r="I76" s="19"/>
      <c r="J76" s="19"/>
      <c r="K76" s="19"/>
      <c r="L76" s="19"/>
      <c r="M76" s="19"/>
    </row>
    <row r="77" spans="1:13" s="15" customFormat="1" ht="10.5" customHeight="1" x14ac:dyDescent="0.25">
      <c r="A77" s="82"/>
      <c r="B77" s="82"/>
      <c r="C77" s="87"/>
      <c r="E77" s="19"/>
      <c r="F77" s="19"/>
      <c r="G77" s="19"/>
      <c r="H77" s="19"/>
      <c r="I77" s="19"/>
      <c r="J77" s="19"/>
      <c r="K77" s="19"/>
      <c r="L77" s="19"/>
      <c r="M77" s="19"/>
    </row>
    <row r="78" spans="1:13" s="15" customFormat="1" x14ac:dyDescent="0.25">
      <c r="A78" s="83"/>
      <c r="B78" s="83"/>
      <c r="C78" s="87"/>
      <c r="E78" s="19"/>
      <c r="F78" s="19"/>
      <c r="G78" s="19"/>
      <c r="H78" s="19"/>
      <c r="I78" s="19"/>
      <c r="J78" s="19"/>
      <c r="K78" s="19"/>
      <c r="L78" s="19"/>
      <c r="M78" s="19"/>
    </row>
    <row r="79" spans="1:13" s="15" customFormat="1" x14ac:dyDescent="0.25">
      <c r="A79" s="83"/>
      <c r="B79" s="83"/>
      <c r="C79" s="87"/>
      <c r="E79" s="19"/>
      <c r="F79" s="19"/>
      <c r="G79" s="19"/>
      <c r="H79" s="19"/>
      <c r="I79" s="19"/>
      <c r="J79" s="19"/>
      <c r="K79" s="19"/>
      <c r="L79" s="19"/>
      <c r="M79" s="19"/>
    </row>
    <row r="80" spans="1:13" s="15" customFormat="1" ht="12.75" customHeight="1" x14ac:dyDescent="0.25">
      <c r="A80" s="82"/>
      <c r="B80" s="82"/>
      <c r="C80" s="87"/>
      <c r="E80" s="19"/>
      <c r="F80" s="19"/>
      <c r="G80" s="19"/>
      <c r="H80" s="19"/>
      <c r="I80" s="19"/>
      <c r="J80" s="19"/>
      <c r="K80" s="19"/>
      <c r="L80" s="19"/>
      <c r="M80" s="19"/>
    </row>
    <row r="81" spans="1:13" s="15" customFormat="1" ht="11.25" customHeight="1" x14ac:dyDescent="0.25">
      <c r="A81" s="83"/>
      <c r="B81" s="83"/>
      <c r="C81" s="88"/>
      <c r="E81" s="19"/>
      <c r="F81" s="19"/>
      <c r="G81" s="19"/>
      <c r="H81" s="19"/>
      <c r="I81" s="19"/>
      <c r="J81" s="19"/>
      <c r="K81" s="19"/>
      <c r="L81" s="19"/>
      <c r="M81" s="19"/>
    </row>
    <row r="82" spans="1:13" s="15" customFormat="1" x14ac:dyDescent="0.25">
      <c r="A82" s="83"/>
      <c r="B82" s="83"/>
      <c r="C82" s="89"/>
    </row>
    <row r="83" spans="1:13" x14ac:dyDescent="0.25">
      <c r="C83" s="90"/>
    </row>
    <row r="86" spans="1:13" ht="11.25" customHeight="1" x14ac:dyDescent="0.25">
      <c r="A86" s="30"/>
      <c r="B86" s="30"/>
      <c r="C86" s="91"/>
    </row>
    <row r="87" spans="1:13" x14ac:dyDescent="0.25">
      <c r="A87" s="29"/>
      <c r="B87" s="29"/>
      <c r="C87" s="90"/>
    </row>
  </sheetData>
  <customSheetViews>
    <customSheetView guid="{BD55AB36-084D-4C26-BAB2-482C24A270C8}" showPageBreaks="1" printArea="1" hiddenRows="1" state="hidden" view="pageBreakPreview">
      <pane xSplit="1" ySplit="3" topLeftCell="B70" activePane="bottomRight" state="frozen"/>
      <selection pane="bottomRight" activeCell="B66" sqref="B66"/>
      <rowBreaks count="1" manualBreakCount="1">
        <brk id="38" max="2" man="1"/>
      </rowBreaks>
      <pageMargins left="0.5" right="0.15748031496062992" top="0.38" bottom="0.16" header="0.15748031496062992" footer="0.15748031496062992"/>
      <printOptions horizontalCentered="1"/>
      <pageSetup paperSize="9" scale="86" fitToHeight="0" orientation="portrait" r:id="rId1"/>
      <headerFooter alignWithMargins="0"/>
    </customSheetView>
    <customSheetView guid="{34D410AD-58B4-4435-9ED5-15CA72283006}" showPageBreaks="1" printArea="1" hiddenRows="1" state="hidden" view="pageBreakPreview">
      <pane xSplit="1" ySplit="3" topLeftCell="B70" activePane="bottomRight" state="frozen"/>
      <selection pane="bottomRight" activeCell="B66" sqref="B66"/>
      <rowBreaks count="1" manualBreakCount="1">
        <brk id="38" max="2" man="1"/>
      </rowBreaks>
      <pageMargins left="0.5" right="0.15748031496062992" top="0.38" bottom="0.16" header="0.15748031496062992" footer="0.15748031496062992"/>
      <printOptions horizontalCentered="1"/>
      <pageSetup paperSize="9" scale="86" fitToHeight="0" orientation="portrait" r:id="rId2"/>
      <headerFooter alignWithMargins="0"/>
    </customSheetView>
    <customSheetView guid="{0E91F95C-B82B-4A7A-9432-6E8B0967BE54}" showPageBreaks="1" printArea="1" hiddenRows="1" state="hidden" view="pageBreakPreview">
      <pane xSplit="1" ySplit="3" topLeftCell="B70" activePane="bottomRight" state="frozen"/>
      <selection pane="bottomRight" activeCell="B66" sqref="B66"/>
      <rowBreaks count="1" manualBreakCount="1">
        <brk id="38" max="2" man="1"/>
      </rowBreaks>
      <pageMargins left="0.5" right="0.15748031496062992" top="0.38" bottom="0.16" header="0.15748031496062992" footer="0.15748031496062992"/>
      <printOptions horizontalCentered="1"/>
      <pageSetup paperSize="9" scale="86" fitToHeight="0" orientation="portrait" r:id="rId3"/>
      <headerFooter alignWithMargins="0"/>
    </customSheetView>
  </customSheetViews>
  <mergeCells count="2">
    <mergeCell ref="A1:C1"/>
    <mergeCell ref="A76:C76"/>
  </mergeCells>
  <printOptions horizontalCentered="1"/>
  <pageMargins left="0.5" right="0.15748031496062992" top="0.38" bottom="0.16" header="0.15748031496062992" footer="0.15748031496062992"/>
  <pageSetup paperSize="9" scale="86" fitToHeight="0" orientation="portrait" r:id="rId4"/>
  <headerFooter alignWithMargins="0"/>
  <rowBreaks count="1" manualBreakCount="1">
    <brk id="3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view="pageBreakPreview" zoomScaleSheetLayoutView="100" workbookViewId="0">
      <pane xSplit="1" ySplit="3" topLeftCell="B57" activePane="bottomRight" state="frozen"/>
      <selection pane="topRight" activeCell="B1" sqref="B1"/>
      <selection pane="bottomLeft" activeCell="A4" sqref="A4"/>
      <selection pane="bottomRight" activeCell="B52" sqref="B52"/>
    </sheetView>
  </sheetViews>
  <sheetFormatPr defaultColWidth="9.140625" defaultRowHeight="15.75" x14ac:dyDescent="0.25"/>
  <cols>
    <col min="1" max="1" width="64.42578125" style="31" customWidth="1"/>
    <col min="2" max="2" width="17.5703125" style="14" customWidth="1"/>
    <col min="3" max="3" width="17.42578125" style="14" customWidth="1"/>
    <col min="4" max="4" width="13.85546875" style="3" bestFit="1" customWidth="1"/>
    <col min="5" max="5" width="14.140625" style="3" bestFit="1" customWidth="1"/>
    <col min="6" max="6" width="24.7109375" style="3" customWidth="1"/>
    <col min="7" max="7" width="10.140625" style="3" customWidth="1"/>
    <col min="8" max="16384" width="9.140625" style="3"/>
  </cols>
  <sheetData>
    <row r="1" spans="1:13" s="1" customFormat="1" ht="36" customHeight="1" x14ac:dyDescent="0.25">
      <c r="A1" s="151" t="s">
        <v>92</v>
      </c>
      <c r="B1" s="151"/>
      <c r="C1" s="151"/>
    </row>
    <row r="2" spans="1:13" ht="13.5" customHeight="1" x14ac:dyDescent="0.25">
      <c r="A2" s="2"/>
      <c r="B2" s="33"/>
      <c r="C2" s="33" t="s">
        <v>48</v>
      </c>
    </row>
    <row r="3" spans="1:13" s="6" customFormat="1" ht="48.75" customHeight="1" x14ac:dyDescent="0.2">
      <c r="A3" s="4" t="s">
        <v>0</v>
      </c>
      <c r="B3" s="34" t="s">
        <v>91</v>
      </c>
      <c r="C3" s="34" t="s">
        <v>67</v>
      </c>
      <c r="D3" s="5"/>
    </row>
    <row r="4" spans="1:13" s="11" customFormat="1" x14ac:dyDescent="0.2">
      <c r="A4" s="7" t="s">
        <v>39</v>
      </c>
      <c r="B4" s="8"/>
      <c r="C4" s="8"/>
      <c r="D4" s="9"/>
      <c r="E4" s="10"/>
    </row>
    <row r="5" spans="1:13" s="15" customFormat="1" x14ac:dyDescent="0.25">
      <c r="A5" s="7" t="s">
        <v>1</v>
      </c>
      <c r="B5" s="40">
        <f>B6+B9+B14+B17+B21+B24+B25+B26+B28+B29+B27</f>
        <v>18327660008.299999</v>
      </c>
      <c r="C5" s="40">
        <f>C6+C9+C14+C17+C21+C24+C25+C26+C28+C29+C27</f>
        <v>23538035700</v>
      </c>
      <c r="D5" s="37"/>
      <c r="E5" s="12"/>
      <c r="F5" s="62"/>
      <c r="G5" s="13"/>
      <c r="H5" s="13"/>
      <c r="I5" s="13"/>
      <c r="J5" s="13"/>
      <c r="K5" s="13"/>
      <c r="L5" s="13"/>
      <c r="M5" s="19"/>
    </row>
    <row r="6" spans="1:13" x14ac:dyDescent="0.25">
      <c r="A6" s="16" t="s">
        <v>2</v>
      </c>
      <c r="B6" s="41">
        <f>B7+B8</f>
        <v>11438598504.299999</v>
      </c>
      <c r="C6" s="41">
        <f>C7+C8</f>
        <v>14358900000</v>
      </c>
      <c r="D6" s="37"/>
      <c r="E6" s="17"/>
      <c r="F6" s="63"/>
      <c r="G6" s="64"/>
      <c r="H6" s="64"/>
      <c r="I6" s="64"/>
      <c r="J6" s="64"/>
      <c r="K6" s="64"/>
      <c r="L6" s="64"/>
      <c r="M6" s="64"/>
    </row>
    <row r="7" spans="1:13" s="54" customFormat="1" x14ac:dyDescent="0.25">
      <c r="A7" s="56" t="s">
        <v>3</v>
      </c>
      <c r="B7" s="74">
        <v>5457616366.7299995</v>
      </c>
      <c r="C7" s="74">
        <v>5913100000</v>
      </c>
      <c r="D7" s="51"/>
      <c r="E7" s="52"/>
      <c r="F7" s="65"/>
      <c r="G7" s="52"/>
      <c r="H7" s="52"/>
      <c r="I7" s="52"/>
      <c r="J7" s="52"/>
      <c r="K7" s="52"/>
      <c r="L7" s="52"/>
      <c r="M7" s="52"/>
    </row>
    <row r="8" spans="1:13" x14ac:dyDescent="0.25">
      <c r="A8" s="18" t="s">
        <v>4</v>
      </c>
      <c r="B8" s="74">
        <v>5980982137.5200005</v>
      </c>
      <c r="C8" s="74">
        <v>8445800000</v>
      </c>
      <c r="D8" s="37"/>
      <c r="E8" s="19"/>
      <c r="F8" s="66"/>
      <c r="G8" s="64"/>
      <c r="H8" s="64"/>
      <c r="I8" s="64"/>
      <c r="J8" s="64"/>
      <c r="K8" s="64"/>
      <c r="L8" s="64"/>
      <c r="M8" s="64"/>
    </row>
    <row r="9" spans="1:13" ht="34.5" customHeight="1" x14ac:dyDescent="0.25">
      <c r="A9" s="16" t="s">
        <v>5</v>
      </c>
      <c r="B9" s="41">
        <f>B10</f>
        <v>1752681118.3</v>
      </c>
      <c r="C9" s="41">
        <f>C10</f>
        <v>2290166000</v>
      </c>
      <c r="D9" s="37"/>
      <c r="E9" s="19"/>
      <c r="F9" s="63"/>
      <c r="G9" s="64"/>
      <c r="H9" s="64"/>
      <c r="I9" s="64"/>
      <c r="J9" s="64"/>
      <c r="K9" s="64"/>
      <c r="L9" s="64"/>
      <c r="M9" s="64"/>
    </row>
    <row r="10" spans="1:13" x14ac:dyDescent="0.25">
      <c r="A10" s="18" t="s">
        <v>6</v>
      </c>
      <c r="B10" s="41">
        <f>B11+B12</f>
        <v>1752681118.3</v>
      </c>
      <c r="C10" s="41">
        <f>C11+C12</f>
        <v>2290166000</v>
      </c>
      <c r="D10" s="37"/>
      <c r="E10" s="19"/>
      <c r="F10" s="63"/>
      <c r="G10" s="64"/>
      <c r="H10" s="64"/>
      <c r="I10" s="64"/>
      <c r="J10" s="64"/>
      <c r="K10" s="64"/>
      <c r="L10" s="64"/>
      <c r="M10" s="64"/>
    </row>
    <row r="11" spans="1:13" x14ac:dyDescent="0.25">
      <c r="A11" s="18" t="s">
        <v>43</v>
      </c>
      <c r="B11" s="41">
        <v>300457633.30000001</v>
      </c>
      <c r="C11" s="41">
        <v>442408000</v>
      </c>
      <c r="D11" s="37"/>
      <c r="E11" s="19"/>
      <c r="F11" s="66"/>
      <c r="G11" s="64"/>
      <c r="H11" s="64"/>
      <c r="I11" s="64"/>
      <c r="J11" s="64"/>
      <c r="K11" s="64"/>
      <c r="L11" s="64"/>
      <c r="M11" s="64"/>
    </row>
    <row r="12" spans="1:13" ht="32.25" customHeight="1" x14ac:dyDescent="0.25">
      <c r="A12" s="18" t="s">
        <v>71</v>
      </c>
      <c r="B12" s="41">
        <v>1452223485</v>
      </c>
      <c r="C12" s="41">
        <v>1847758000</v>
      </c>
      <c r="D12" s="37"/>
      <c r="E12" s="19"/>
      <c r="F12" s="63"/>
      <c r="G12" s="64"/>
      <c r="H12" s="64"/>
      <c r="I12" s="64"/>
      <c r="J12" s="64"/>
      <c r="K12" s="64"/>
      <c r="L12" s="64"/>
      <c r="M12" s="64"/>
    </row>
    <row r="13" spans="1:13" ht="31.5" hidden="1" x14ac:dyDescent="0.25">
      <c r="A13" s="18" t="s">
        <v>68</v>
      </c>
      <c r="B13" s="41">
        <f>'по отчету'!B13/1000</f>
        <v>0</v>
      </c>
      <c r="C13" s="41">
        <f>'по отчету'!C13/1000</f>
        <v>-0.4</v>
      </c>
      <c r="D13" s="37"/>
      <c r="E13" s="19"/>
      <c r="F13" s="67"/>
      <c r="G13" s="64"/>
      <c r="H13" s="64"/>
      <c r="I13" s="64"/>
      <c r="J13" s="64"/>
      <c r="K13" s="64"/>
      <c r="L13" s="64"/>
      <c r="M13" s="64"/>
    </row>
    <row r="14" spans="1:13" x14ac:dyDescent="0.25">
      <c r="A14" s="16" t="s">
        <v>7</v>
      </c>
      <c r="B14" s="41">
        <f>B15</f>
        <v>1263511531.2</v>
      </c>
      <c r="C14" s="41">
        <f>C15</f>
        <v>1592858000</v>
      </c>
      <c r="D14" s="37"/>
      <c r="E14" s="19"/>
      <c r="F14" s="63"/>
      <c r="G14" s="64"/>
      <c r="H14" s="64"/>
      <c r="I14" s="64"/>
      <c r="J14" s="64"/>
      <c r="K14" s="64"/>
      <c r="L14" s="64"/>
      <c r="M14" s="64"/>
    </row>
    <row r="15" spans="1:13" ht="31.5" x14ac:dyDescent="0.25">
      <c r="A15" s="18" t="s">
        <v>36</v>
      </c>
      <c r="B15" s="74">
        <v>1263511531.1700001</v>
      </c>
      <c r="C15" s="74">
        <v>1592858000</v>
      </c>
      <c r="D15" s="37"/>
      <c r="E15" s="19"/>
      <c r="F15" s="66"/>
      <c r="G15" s="64"/>
      <c r="H15" s="64"/>
      <c r="I15" s="64"/>
      <c r="J15" s="64"/>
      <c r="K15" s="64"/>
      <c r="L15" s="64"/>
      <c r="M15" s="64"/>
    </row>
    <row r="16" spans="1:13" hidden="1" x14ac:dyDescent="0.25">
      <c r="A16" s="18" t="s">
        <v>8</v>
      </c>
      <c r="B16" s="41">
        <f>'по отчету'!B16/1000</f>
        <v>0</v>
      </c>
      <c r="C16" s="41">
        <f>'по отчету'!C16/1000</f>
        <v>0</v>
      </c>
      <c r="D16" s="37"/>
      <c r="E16" s="19"/>
      <c r="F16" s="63"/>
      <c r="G16" s="64"/>
      <c r="H16" s="64"/>
      <c r="I16" s="64"/>
      <c r="J16" s="64"/>
      <c r="K16" s="64"/>
      <c r="L16" s="64"/>
      <c r="M16" s="64"/>
    </row>
    <row r="17" spans="1:13" x14ac:dyDescent="0.25">
      <c r="A17" s="16" t="s">
        <v>9</v>
      </c>
      <c r="B17" s="41">
        <f>B18+B19+B20</f>
        <v>2119578083.3</v>
      </c>
      <c r="C17" s="41">
        <f>C18+C19+C20</f>
        <v>3040130000</v>
      </c>
      <c r="D17" s="37"/>
      <c r="E17" s="19"/>
      <c r="F17" s="63"/>
      <c r="G17" s="64"/>
      <c r="H17" s="64"/>
      <c r="I17" s="64"/>
      <c r="J17" s="64"/>
      <c r="K17" s="64"/>
      <c r="L17" s="64"/>
      <c r="M17" s="64"/>
    </row>
    <row r="18" spans="1:13" x14ac:dyDescent="0.25">
      <c r="A18" s="18" t="s">
        <v>10</v>
      </c>
      <c r="B18" s="74">
        <v>1753748931.8</v>
      </c>
      <c r="C18" s="74">
        <v>2330130000</v>
      </c>
      <c r="D18" s="37"/>
      <c r="E18" s="19"/>
      <c r="F18" s="66"/>
      <c r="G18" s="64"/>
      <c r="H18" s="64"/>
      <c r="I18" s="64"/>
      <c r="J18" s="64"/>
      <c r="K18" s="64"/>
      <c r="L18" s="64"/>
      <c r="M18" s="64"/>
    </row>
    <row r="19" spans="1:13" x14ac:dyDescent="0.25">
      <c r="A19" s="18" t="s">
        <v>11</v>
      </c>
      <c r="B19" s="74">
        <v>364834141.81999999</v>
      </c>
      <c r="C19" s="74">
        <v>708500000</v>
      </c>
      <c r="D19" s="37"/>
      <c r="E19" s="19"/>
      <c r="F19" s="66"/>
      <c r="G19" s="64"/>
      <c r="H19" s="64"/>
      <c r="I19" s="64"/>
      <c r="J19" s="64"/>
      <c r="K19" s="64"/>
      <c r="L19" s="64"/>
      <c r="M19" s="64"/>
    </row>
    <row r="20" spans="1:13" x14ac:dyDescent="0.25">
      <c r="A20" s="18" t="s">
        <v>12</v>
      </c>
      <c r="B20" s="74">
        <v>995009.67</v>
      </c>
      <c r="C20" s="74">
        <v>1500000</v>
      </c>
      <c r="D20" s="37"/>
      <c r="E20" s="19"/>
      <c r="F20" s="66"/>
      <c r="G20" s="64"/>
      <c r="H20" s="64"/>
      <c r="I20" s="64"/>
      <c r="J20" s="64"/>
      <c r="K20" s="64"/>
      <c r="L20" s="64"/>
      <c r="M20" s="64"/>
    </row>
    <row r="21" spans="1:13" ht="31.5" x14ac:dyDescent="0.25">
      <c r="A21" s="16" t="s">
        <v>13</v>
      </c>
      <c r="B21" s="41">
        <f>B22+B23</f>
        <v>480248933.30000001</v>
      </c>
      <c r="C21" s="41">
        <f>C22+C23</f>
        <v>634456000</v>
      </c>
      <c r="D21" s="37"/>
      <c r="E21" s="19"/>
      <c r="F21" s="63"/>
      <c r="G21" s="64"/>
      <c r="H21" s="64"/>
      <c r="I21" s="64"/>
      <c r="J21" s="64"/>
      <c r="K21" s="64"/>
      <c r="L21" s="64"/>
      <c r="M21" s="64"/>
    </row>
    <row r="22" spans="1:13" x14ac:dyDescent="0.25">
      <c r="A22" s="18" t="s">
        <v>14</v>
      </c>
      <c r="B22" s="74">
        <v>452890643.06999999</v>
      </c>
      <c r="C22" s="74">
        <v>589536000</v>
      </c>
      <c r="D22" s="37"/>
      <c r="E22" s="19"/>
      <c r="F22" s="66"/>
      <c r="G22" s="64"/>
      <c r="H22" s="64"/>
      <c r="I22" s="64"/>
      <c r="J22" s="64"/>
      <c r="K22" s="64"/>
      <c r="L22" s="64"/>
      <c r="M22" s="64"/>
    </row>
    <row r="23" spans="1:13" ht="31.5" x14ac:dyDescent="0.25">
      <c r="A23" s="18" t="s">
        <v>15</v>
      </c>
      <c r="B23" s="74">
        <v>27358290.25</v>
      </c>
      <c r="C23" s="74">
        <v>44920000</v>
      </c>
      <c r="D23" s="37"/>
      <c r="E23" s="19"/>
      <c r="F23" s="66"/>
      <c r="G23" s="64"/>
      <c r="H23" s="64"/>
      <c r="I23" s="64"/>
      <c r="J23" s="64"/>
      <c r="K23" s="64"/>
      <c r="L23" s="64"/>
      <c r="M23" s="64"/>
    </row>
    <row r="24" spans="1:13" s="15" customFormat="1" x14ac:dyDescent="0.25">
      <c r="A24" s="20" t="s">
        <v>79</v>
      </c>
      <c r="B24" s="74">
        <v>85303369.420000002</v>
      </c>
      <c r="C24" s="74">
        <v>122100000</v>
      </c>
      <c r="D24" s="37"/>
      <c r="E24" s="19"/>
      <c r="F24" s="66"/>
      <c r="G24" s="19"/>
      <c r="H24" s="19"/>
      <c r="I24" s="19"/>
      <c r="J24" s="19"/>
      <c r="K24" s="19"/>
      <c r="L24" s="19"/>
      <c r="M24" s="19"/>
    </row>
    <row r="25" spans="1:13" ht="47.25" x14ac:dyDescent="0.25">
      <c r="A25" s="16" t="s">
        <v>17</v>
      </c>
      <c r="B25" s="74">
        <v>105034713.28</v>
      </c>
      <c r="C25" s="74">
        <v>212161000</v>
      </c>
      <c r="D25" s="37"/>
      <c r="E25" s="19"/>
      <c r="F25" s="66"/>
      <c r="G25" s="64"/>
      <c r="H25" s="64"/>
      <c r="I25" s="64"/>
      <c r="J25" s="64"/>
      <c r="K25" s="64"/>
      <c r="L25" s="64"/>
      <c r="M25" s="64"/>
    </row>
    <row r="26" spans="1:13" ht="30.75" customHeight="1" x14ac:dyDescent="0.25">
      <c r="A26" s="16" t="s">
        <v>18</v>
      </c>
      <c r="B26" s="74">
        <v>725708308.25999999</v>
      </c>
      <c r="C26" s="74">
        <v>841598000</v>
      </c>
      <c r="D26" s="37"/>
      <c r="E26" s="19"/>
      <c r="F26" s="66"/>
      <c r="G26" s="64"/>
      <c r="H26" s="64"/>
      <c r="I26" s="64"/>
      <c r="J26" s="64"/>
      <c r="K26" s="64"/>
      <c r="L26" s="64"/>
      <c r="M26" s="64"/>
    </row>
    <row r="27" spans="1:13" s="15" customFormat="1" ht="63" x14ac:dyDescent="0.25">
      <c r="A27" s="20" t="s">
        <v>80</v>
      </c>
      <c r="B27" s="75">
        <v>171888570.75999999</v>
      </c>
      <c r="C27" s="75">
        <v>200466700</v>
      </c>
      <c r="D27" s="37"/>
      <c r="E27" s="68"/>
      <c r="F27" s="66"/>
      <c r="G27" s="19"/>
      <c r="H27" s="19"/>
      <c r="I27" s="19"/>
      <c r="J27" s="19"/>
      <c r="K27" s="19"/>
      <c r="L27" s="19"/>
      <c r="M27" s="19"/>
    </row>
    <row r="28" spans="1:13" x14ac:dyDescent="0.25">
      <c r="A28" s="16" t="s">
        <v>19</v>
      </c>
      <c r="B28" s="75">
        <v>605210</v>
      </c>
      <c r="C28" s="75">
        <v>1200000</v>
      </c>
      <c r="D28" s="37"/>
      <c r="E28" s="19"/>
      <c r="F28" s="66"/>
      <c r="G28" s="64"/>
      <c r="H28" s="64"/>
      <c r="I28" s="64"/>
      <c r="J28" s="64"/>
      <c r="K28" s="64"/>
      <c r="L28" s="64"/>
      <c r="M28" s="64"/>
    </row>
    <row r="29" spans="1:13" ht="31.5" x14ac:dyDescent="0.25">
      <c r="A29" s="16" t="s">
        <v>81</v>
      </c>
      <c r="B29" s="75">
        <v>184501666.19999999</v>
      </c>
      <c r="C29" s="75">
        <v>244000000</v>
      </c>
      <c r="D29" s="37"/>
      <c r="E29" s="68"/>
      <c r="F29" s="66"/>
      <c r="G29" s="64"/>
      <c r="H29" s="64"/>
      <c r="I29" s="64"/>
      <c r="J29" s="64"/>
      <c r="K29" s="64"/>
      <c r="L29" s="64"/>
      <c r="M29" s="64"/>
    </row>
    <row r="30" spans="1:13" s="23" customFormat="1" x14ac:dyDescent="0.25">
      <c r="A30" s="7" t="s">
        <v>22</v>
      </c>
      <c r="B30" s="40">
        <f>B31+B39+B42+B43</f>
        <v>13202406675</v>
      </c>
      <c r="C30" s="40">
        <f>C31+C39+C42+C43</f>
        <v>20883916905.099998</v>
      </c>
      <c r="D30" s="37"/>
      <c r="E30" s="12"/>
      <c r="F30" s="62"/>
      <c r="G30" s="21"/>
      <c r="H30" s="21"/>
      <c r="I30" s="21"/>
      <c r="J30" s="21"/>
      <c r="K30" s="21"/>
      <c r="L30" s="21"/>
      <c r="M30" s="25"/>
    </row>
    <row r="31" spans="1:13" ht="33" customHeight="1" x14ac:dyDescent="0.25">
      <c r="A31" s="16" t="s">
        <v>37</v>
      </c>
      <c r="B31" s="41">
        <f>B32+B36+B37+B38</f>
        <v>12641426185.700001</v>
      </c>
      <c r="C31" s="41">
        <f>C32+C36+C37+C38</f>
        <v>20089875110</v>
      </c>
      <c r="D31" s="37"/>
      <c r="E31" s="13"/>
      <c r="F31" s="63"/>
      <c r="G31" s="69"/>
      <c r="H31" s="69"/>
      <c r="I31" s="64"/>
      <c r="J31" s="64"/>
      <c r="K31" s="64"/>
      <c r="L31" s="64"/>
      <c r="M31" s="64"/>
    </row>
    <row r="32" spans="1:13" ht="31.5" x14ac:dyDescent="0.25">
      <c r="A32" s="16" t="s">
        <v>23</v>
      </c>
      <c r="B32" s="41">
        <f>B33+B34+B35</f>
        <v>10007765500</v>
      </c>
      <c r="C32" s="41">
        <f>C33+C34+C35</f>
        <v>13084604400</v>
      </c>
      <c r="D32" s="37"/>
      <c r="E32" s="19"/>
      <c r="F32" s="63"/>
      <c r="G32" s="64"/>
      <c r="H32" s="64"/>
      <c r="I32" s="64"/>
      <c r="J32" s="64"/>
      <c r="K32" s="64"/>
      <c r="L32" s="64"/>
      <c r="M32" s="64"/>
    </row>
    <row r="33" spans="1:13" x14ac:dyDescent="0.25">
      <c r="A33" s="18" t="s">
        <v>69</v>
      </c>
      <c r="B33" s="75">
        <v>6406906500</v>
      </c>
      <c r="C33" s="75">
        <v>8542541400</v>
      </c>
      <c r="D33" s="37"/>
      <c r="E33" s="19"/>
      <c r="F33" s="66"/>
      <c r="G33" s="64"/>
      <c r="H33" s="64"/>
      <c r="I33" s="64"/>
      <c r="J33" s="64"/>
      <c r="K33" s="64"/>
      <c r="L33" s="64"/>
      <c r="M33" s="64"/>
    </row>
    <row r="34" spans="1:13" ht="31.5" x14ac:dyDescent="0.25">
      <c r="A34" s="18" t="s">
        <v>70</v>
      </c>
      <c r="B34" s="75">
        <v>777235000</v>
      </c>
      <c r="C34" s="75">
        <v>777235000</v>
      </c>
      <c r="D34" s="37"/>
      <c r="E34" s="19"/>
      <c r="F34" s="66"/>
      <c r="G34" s="64"/>
      <c r="H34" s="64"/>
      <c r="I34" s="64"/>
      <c r="J34" s="64"/>
      <c r="K34" s="64"/>
      <c r="L34" s="64"/>
      <c r="M34" s="64"/>
    </row>
    <row r="35" spans="1:13" ht="47.25" x14ac:dyDescent="0.25">
      <c r="A35" s="18" t="s">
        <v>66</v>
      </c>
      <c r="B35" s="75">
        <v>2823624000</v>
      </c>
      <c r="C35" s="75">
        <v>3764828000</v>
      </c>
      <c r="D35" s="37"/>
      <c r="E35" s="19"/>
      <c r="F35" s="66"/>
      <c r="G35" s="64"/>
      <c r="H35" s="64"/>
      <c r="I35" s="64"/>
      <c r="J35" s="64"/>
      <c r="K35" s="64"/>
      <c r="L35" s="64"/>
      <c r="M35" s="64"/>
    </row>
    <row r="36" spans="1:13" ht="31.5" x14ac:dyDescent="0.25">
      <c r="A36" s="18" t="s">
        <v>24</v>
      </c>
      <c r="B36" s="75">
        <v>710762967.58000004</v>
      </c>
      <c r="C36" s="75">
        <v>4228319510</v>
      </c>
      <c r="D36" s="37"/>
      <c r="E36" s="19"/>
      <c r="F36" s="66"/>
      <c r="G36" s="64"/>
      <c r="H36" s="64"/>
      <c r="I36" s="64"/>
      <c r="J36" s="64"/>
      <c r="K36" s="64"/>
      <c r="L36" s="64"/>
      <c r="M36" s="64"/>
    </row>
    <row r="37" spans="1:13" ht="31.5" x14ac:dyDescent="0.25">
      <c r="A37" s="18" t="s">
        <v>25</v>
      </c>
      <c r="B37" s="75">
        <v>1717437323.7</v>
      </c>
      <c r="C37" s="75">
        <v>2326233900</v>
      </c>
      <c r="D37" s="37"/>
      <c r="E37" s="19"/>
      <c r="F37" s="66"/>
      <c r="G37" s="64"/>
      <c r="H37" s="64"/>
      <c r="I37" s="64"/>
      <c r="J37" s="64"/>
      <c r="K37" s="64"/>
      <c r="L37" s="64"/>
      <c r="M37" s="64"/>
    </row>
    <row r="38" spans="1:13" x14ac:dyDescent="0.25">
      <c r="A38" s="18" t="s">
        <v>26</v>
      </c>
      <c r="B38" s="75">
        <v>205460394.44999999</v>
      </c>
      <c r="C38" s="75">
        <v>450717300</v>
      </c>
      <c r="D38" s="37"/>
      <c r="E38" s="19"/>
      <c r="F38" s="66"/>
      <c r="G38" s="64"/>
      <c r="H38" s="64"/>
      <c r="I38" s="64"/>
      <c r="J38" s="64"/>
      <c r="K38" s="64"/>
      <c r="L38" s="64"/>
      <c r="M38" s="64"/>
    </row>
    <row r="39" spans="1:13" ht="31.5" x14ac:dyDescent="0.25">
      <c r="A39" s="16" t="s">
        <v>28</v>
      </c>
      <c r="B39" s="75">
        <v>609781090.59000003</v>
      </c>
      <c r="C39" s="75">
        <v>838819690.50999999</v>
      </c>
      <c r="D39" s="37"/>
      <c r="E39" s="19"/>
      <c r="F39" s="66"/>
      <c r="G39" s="64"/>
      <c r="H39" s="64"/>
      <c r="I39" s="64"/>
      <c r="J39" s="64"/>
      <c r="K39" s="64"/>
      <c r="L39" s="64"/>
      <c r="M39" s="64"/>
    </row>
    <row r="40" spans="1:13" ht="31.5" hidden="1" x14ac:dyDescent="0.25">
      <c r="A40" s="16" t="s">
        <v>38</v>
      </c>
      <c r="B40" s="41">
        <v>0</v>
      </c>
      <c r="C40" s="41">
        <v>0</v>
      </c>
      <c r="D40" s="37"/>
      <c r="E40" s="19"/>
      <c r="F40" s="63"/>
      <c r="G40" s="64"/>
      <c r="H40" s="64"/>
      <c r="I40" s="64"/>
      <c r="J40" s="64"/>
      <c r="K40" s="64"/>
      <c r="L40" s="64"/>
      <c r="M40" s="64"/>
    </row>
    <row r="41" spans="1:13" hidden="1" x14ac:dyDescent="0.25">
      <c r="A41" s="16" t="s">
        <v>42</v>
      </c>
      <c r="B41" s="41">
        <v>0</v>
      </c>
      <c r="C41" s="41">
        <v>0</v>
      </c>
      <c r="D41" s="37"/>
      <c r="E41" s="19"/>
      <c r="F41" s="63"/>
      <c r="G41" s="64"/>
      <c r="H41" s="64"/>
      <c r="I41" s="64"/>
      <c r="J41" s="64"/>
      <c r="K41" s="64"/>
      <c r="L41" s="64"/>
      <c r="M41" s="64"/>
    </row>
    <row r="42" spans="1:13" x14ac:dyDescent="0.25">
      <c r="A42" s="16" t="s">
        <v>72</v>
      </c>
      <c r="B42" s="75">
        <v>4879478.04</v>
      </c>
      <c r="C42" s="75">
        <v>8139204.5999999996</v>
      </c>
      <c r="D42" s="37"/>
      <c r="E42" s="19"/>
      <c r="F42" s="66"/>
      <c r="G42" s="64"/>
      <c r="H42" s="64"/>
      <c r="I42" s="64"/>
      <c r="J42" s="64"/>
      <c r="K42" s="64"/>
      <c r="L42" s="64"/>
      <c r="M42" s="64"/>
    </row>
    <row r="43" spans="1:13" s="26" customFormat="1" ht="63" x14ac:dyDescent="0.25">
      <c r="A43" s="20" t="s">
        <v>73</v>
      </c>
      <c r="B43" s="41">
        <f>58883894.65-112563973.97</f>
        <v>-53680079.299999997</v>
      </c>
      <c r="C43" s="41">
        <v>-52917100</v>
      </c>
      <c r="D43" s="37"/>
      <c r="E43" s="25"/>
      <c r="F43" s="66"/>
      <c r="G43" s="70"/>
      <c r="H43" s="70"/>
      <c r="I43" s="70"/>
      <c r="J43" s="70"/>
      <c r="K43" s="70"/>
      <c r="L43" s="70"/>
      <c r="M43" s="70"/>
    </row>
    <row r="44" spans="1:13" s="26" customFormat="1" ht="31.5" hidden="1" x14ac:dyDescent="0.25">
      <c r="A44" s="20" t="s">
        <v>21</v>
      </c>
      <c r="B44" s="41"/>
      <c r="C44" s="41"/>
      <c r="D44" s="37"/>
      <c r="E44" s="25"/>
      <c r="F44" s="63"/>
      <c r="G44" s="70"/>
      <c r="H44" s="70"/>
      <c r="I44" s="70"/>
      <c r="J44" s="70"/>
      <c r="K44" s="70"/>
      <c r="L44" s="70"/>
      <c r="M44" s="70"/>
    </row>
    <row r="45" spans="1:13" s="23" customFormat="1" x14ac:dyDescent="0.25">
      <c r="A45" s="7" t="s">
        <v>49</v>
      </c>
      <c r="B45" s="43">
        <f>B5+B30</f>
        <v>31530066683.299999</v>
      </c>
      <c r="C45" s="43">
        <f>C5+C30</f>
        <v>44421952605.099998</v>
      </c>
      <c r="D45" s="37"/>
      <c r="E45" s="12"/>
      <c r="F45" s="71"/>
      <c r="G45" s="21"/>
      <c r="H45" s="21"/>
      <c r="I45" s="21"/>
      <c r="J45" s="21"/>
      <c r="K45" s="21"/>
      <c r="L45" s="21"/>
      <c r="M45" s="25"/>
    </row>
    <row r="46" spans="1:13" s="23" customFormat="1" x14ac:dyDescent="0.25">
      <c r="A46" s="7" t="s">
        <v>40</v>
      </c>
      <c r="B46" s="44"/>
      <c r="C46" s="41"/>
      <c r="D46" s="37"/>
      <c r="E46" s="25"/>
      <c r="F46" s="72"/>
      <c r="G46" s="25"/>
      <c r="H46" s="25"/>
      <c r="I46" s="25"/>
      <c r="J46" s="25"/>
      <c r="K46" s="25"/>
      <c r="L46" s="25"/>
      <c r="M46" s="25"/>
    </row>
    <row r="47" spans="1:13" x14ac:dyDescent="0.25">
      <c r="A47" s="20" t="s">
        <v>50</v>
      </c>
      <c r="B47" s="75">
        <v>1005060713</v>
      </c>
      <c r="C47" s="75">
        <v>1780603457.78</v>
      </c>
      <c r="D47" s="37"/>
      <c r="E47" s="73"/>
      <c r="F47" s="73"/>
      <c r="G47" s="73"/>
      <c r="H47" s="69"/>
      <c r="I47" s="69"/>
      <c r="J47" s="69"/>
      <c r="K47" s="69"/>
      <c r="L47" s="64"/>
      <c r="M47" s="64"/>
    </row>
    <row r="48" spans="1:13" x14ac:dyDescent="0.25">
      <c r="A48" s="20" t="s">
        <v>51</v>
      </c>
      <c r="B48" s="75">
        <v>10320003.5</v>
      </c>
      <c r="C48" s="75">
        <v>18815500</v>
      </c>
      <c r="D48" s="37"/>
      <c r="E48" s="73"/>
      <c r="F48" s="73"/>
      <c r="G48" s="73"/>
      <c r="H48" s="69"/>
      <c r="I48" s="69"/>
      <c r="J48" s="69"/>
      <c r="K48" s="69"/>
      <c r="L48" s="64"/>
      <c r="M48" s="64"/>
    </row>
    <row r="49" spans="1:13" ht="17.25" customHeight="1" x14ac:dyDescent="0.25">
      <c r="A49" s="20" t="s">
        <v>52</v>
      </c>
      <c r="B49" s="75">
        <v>515631119.82999998</v>
      </c>
      <c r="C49" s="75">
        <v>819788222.17999995</v>
      </c>
      <c r="D49" s="37"/>
      <c r="E49" s="73"/>
      <c r="F49" s="73"/>
      <c r="G49" s="73"/>
      <c r="H49" s="69"/>
      <c r="I49" s="69"/>
      <c r="J49" s="69"/>
      <c r="K49" s="69"/>
      <c r="L49" s="64"/>
      <c r="M49" s="64"/>
    </row>
    <row r="50" spans="1:13" x14ac:dyDescent="0.25">
      <c r="A50" s="20" t="s">
        <v>53</v>
      </c>
      <c r="B50" s="75">
        <v>3230324398.3099999</v>
      </c>
      <c r="C50" s="75">
        <v>6831996040.9399996</v>
      </c>
      <c r="D50" s="37"/>
      <c r="E50" s="73"/>
      <c r="F50" s="73"/>
      <c r="G50" s="73"/>
      <c r="H50" s="69"/>
      <c r="I50" s="69"/>
      <c r="J50" s="69"/>
      <c r="K50" s="69"/>
      <c r="L50" s="64"/>
      <c r="M50" s="64"/>
    </row>
    <row r="51" spans="1:13" x14ac:dyDescent="0.25">
      <c r="A51" s="20" t="s">
        <v>54</v>
      </c>
      <c r="B51" s="75">
        <v>1536195462.6600001</v>
      </c>
      <c r="C51" s="75">
        <v>3850202800</v>
      </c>
      <c r="D51" s="37"/>
      <c r="E51" s="73"/>
      <c r="F51" s="73"/>
      <c r="G51" s="73"/>
      <c r="H51" s="69"/>
      <c r="I51" s="69"/>
      <c r="J51" s="69"/>
      <c r="K51" s="69"/>
      <c r="L51" s="64"/>
      <c r="M51" s="64"/>
    </row>
    <row r="52" spans="1:13" x14ac:dyDescent="0.25">
      <c r="A52" s="20" t="s">
        <v>55</v>
      </c>
      <c r="B52" s="75">
        <v>1708991257</v>
      </c>
      <c r="C52" s="75">
        <v>4395897674.21</v>
      </c>
      <c r="D52" s="37"/>
      <c r="E52" s="73"/>
      <c r="F52" s="73"/>
      <c r="G52" s="73"/>
      <c r="H52" s="69"/>
      <c r="I52" s="69"/>
      <c r="J52" s="69"/>
      <c r="K52" s="69"/>
      <c r="L52" s="64"/>
      <c r="M52" s="64"/>
    </row>
    <row r="53" spans="1:13" x14ac:dyDescent="0.25">
      <c r="A53" s="20" t="s">
        <v>56</v>
      </c>
      <c r="B53" s="75">
        <v>7014284.3899999997</v>
      </c>
      <c r="C53" s="75">
        <v>14900500</v>
      </c>
      <c r="D53" s="37"/>
      <c r="E53" s="73"/>
      <c r="F53" s="73"/>
      <c r="G53" s="73"/>
      <c r="H53" s="69"/>
      <c r="I53" s="69"/>
      <c r="J53" s="69"/>
      <c r="K53" s="69"/>
      <c r="L53" s="64"/>
      <c r="M53" s="64"/>
    </row>
    <row r="54" spans="1:13" x14ac:dyDescent="0.25">
      <c r="A54" s="20" t="s">
        <v>57</v>
      </c>
      <c r="B54" s="75">
        <v>5672238754.8900003</v>
      </c>
      <c r="C54" s="75">
        <v>8269178984.1599998</v>
      </c>
      <c r="D54" s="37"/>
      <c r="E54" s="73"/>
      <c r="F54" s="73"/>
      <c r="G54" s="73"/>
      <c r="H54" s="69"/>
      <c r="I54" s="69"/>
      <c r="J54" s="69"/>
      <c r="K54" s="69"/>
      <c r="L54" s="64"/>
      <c r="M54" s="64"/>
    </row>
    <row r="55" spans="1:13" x14ac:dyDescent="0.25">
      <c r="A55" s="20" t="s">
        <v>58</v>
      </c>
      <c r="B55" s="75">
        <v>713011151.61000001</v>
      </c>
      <c r="C55" s="75">
        <v>1140474992.54</v>
      </c>
      <c r="D55" s="37"/>
      <c r="E55" s="73"/>
      <c r="F55" s="73"/>
      <c r="G55" s="73"/>
      <c r="H55" s="69"/>
      <c r="I55" s="69"/>
      <c r="J55" s="69"/>
      <c r="K55" s="69"/>
      <c r="L55" s="64"/>
      <c r="M55" s="64"/>
    </row>
    <row r="56" spans="1:13" x14ac:dyDescent="0.25">
      <c r="A56" s="20" t="s">
        <v>59</v>
      </c>
      <c r="B56" s="75">
        <v>1758626839.98</v>
      </c>
      <c r="C56" s="75">
        <v>3088130326.6199999</v>
      </c>
      <c r="D56" s="37"/>
      <c r="E56" s="73"/>
      <c r="F56" s="73"/>
      <c r="G56" s="73"/>
      <c r="H56" s="69"/>
      <c r="I56" s="69"/>
      <c r="J56" s="69"/>
      <c r="K56" s="69"/>
      <c r="L56" s="64"/>
      <c r="M56" s="64"/>
    </row>
    <row r="57" spans="1:13" x14ac:dyDescent="0.25">
      <c r="A57" s="20" t="s">
        <v>60</v>
      </c>
      <c r="B57" s="75">
        <v>10108833098.66</v>
      </c>
      <c r="C57" s="75">
        <v>14027726400</v>
      </c>
      <c r="D57" s="37"/>
      <c r="E57" s="73"/>
      <c r="F57" s="73"/>
      <c r="G57" s="73"/>
      <c r="H57" s="69"/>
      <c r="I57" s="69"/>
      <c r="J57" s="69"/>
      <c r="K57" s="69"/>
      <c r="L57" s="64"/>
      <c r="M57" s="64"/>
    </row>
    <row r="58" spans="1:13" x14ac:dyDescent="0.25">
      <c r="A58" s="20" t="s">
        <v>61</v>
      </c>
      <c r="B58" s="75">
        <v>155132555.28</v>
      </c>
      <c r="C58" s="75">
        <v>498396355</v>
      </c>
      <c r="D58" s="37"/>
      <c r="E58" s="73"/>
      <c r="F58" s="73"/>
      <c r="G58" s="73"/>
      <c r="H58" s="69"/>
      <c r="I58" s="69"/>
      <c r="J58" s="69"/>
      <c r="K58" s="69"/>
      <c r="L58" s="64"/>
      <c r="M58" s="64"/>
    </row>
    <row r="59" spans="1:13" x14ac:dyDescent="0.25">
      <c r="A59" s="20" t="s">
        <v>62</v>
      </c>
      <c r="B59" s="75">
        <v>68983910</v>
      </c>
      <c r="C59" s="75">
        <v>93716650</v>
      </c>
      <c r="D59" s="37"/>
      <c r="E59" s="73"/>
      <c r="F59" s="73"/>
      <c r="G59" s="73"/>
      <c r="H59" s="69"/>
      <c r="I59" s="69"/>
      <c r="J59" s="69"/>
      <c r="K59" s="69"/>
      <c r="L59" s="64"/>
      <c r="M59" s="64"/>
    </row>
    <row r="60" spans="1:13" x14ac:dyDescent="0.25">
      <c r="A60" s="20" t="s">
        <v>63</v>
      </c>
      <c r="B60" s="75">
        <v>713123515.42999995</v>
      </c>
      <c r="C60" s="75">
        <v>1244677200</v>
      </c>
      <c r="D60" s="37"/>
      <c r="E60" s="73"/>
      <c r="F60" s="73"/>
      <c r="G60" s="73"/>
      <c r="H60" s="69"/>
      <c r="I60" s="69"/>
      <c r="J60" s="69"/>
      <c r="K60" s="69"/>
      <c r="L60" s="64"/>
      <c r="M60" s="64"/>
    </row>
    <row r="61" spans="1:13" ht="33" customHeight="1" x14ac:dyDescent="0.25">
      <c r="A61" s="20" t="s">
        <v>64</v>
      </c>
      <c r="B61" s="75">
        <v>1050626296.8200001</v>
      </c>
      <c r="C61" s="75">
        <v>1492123457</v>
      </c>
      <c r="D61" s="37"/>
      <c r="E61" s="73"/>
      <c r="F61" s="73"/>
      <c r="G61" s="73"/>
      <c r="H61" s="69"/>
      <c r="I61" s="69"/>
      <c r="J61" s="69"/>
      <c r="K61" s="69"/>
      <c r="L61" s="64"/>
      <c r="M61" s="64"/>
    </row>
    <row r="62" spans="1:13" s="15" customFormat="1" x14ac:dyDescent="0.25">
      <c r="A62" s="7" t="s">
        <v>65</v>
      </c>
      <c r="B62" s="40">
        <f>SUM(B47:B50,B52:B61)</f>
        <v>26717917898.700001</v>
      </c>
      <c r="C62" s="40">
        <f>SUM(C47:C50,C52:C61)</f>
        <v>43716425760.400002</v>
      </c>
      <c r="D62" s="37"/>
      <c r="E62" s="12"/>
      <c r="F62" s="62"/>
      <c r="G62" s="27"/>
      <c r="H62" s="27"/>
      <c r="I62" s="27"/>
      <c r="J62" s="13"/>
      <c r="K62" s="13"/>
      <c r="L62" s="19"/>
      <c r="M62" s="19"/>
    </row>
    <row r="63" spans="1:13" s="23" customFormat="1" ht="31.5" x14ac:dyDescent="0.25">
      <c r="A63" s="7" t="s">
        <v>47</v>
      </c>
      <c r="B63" s="40">
        <f>B5+B30-B62</f>
        <v>4812148784.6000004</v>
      </c>
      <c r="C63" s="40">
        <f>C5+C30-C62</f>
        <v>705526844.70000005</v>
      </c>
      <c r="D63" s="37"/>
      <c r="E63" s="12"/>
      <c r="F63" s="62"/>
      <c r="G63" s="21"/>
      <c r="H63" s="21"/>
      <c r="I63" s="21"/>
      <c r="J63" s="21"/>
      <c r="K63" s="25"/>
      <c r="L63" s="25"/>
      <c r="M63" s="25"/>
    </row>
    <row r="64" spans="1:13" s="23" customFormat="1" ht="31.5" customHeight="1" x14ac:dyDescent="0.25">
      <c r="A64" s="58" t="s">
        <v>29</v>
      </c>
      <c r="B64" s="40">
        <f>B65+B66+B67+B68+B74</f>
        <v>-4812148784.6000004</v>
      </c>
      <c r="C64" s="40">
        <f>C65+C66+C67+C68+C74</f>
        <v>-705526844.70000005</v>
      </c>
      <c r="D64" s="37"/>
      <c r="E64" s="21"/>
      <c r="F64" s="21"/>
      <c r="G64" s="21"/>
      <c r="H64" s="21"/>
      <c r="I64" s="25"/>
      <c r="J64" s="25"/>
      <c r="K64" s="25"/>
      <c r="L64" s="25"/>
      <c r="M64" s="25"/>
    </row>
    <row r="65" spans="1:13" ht="48" customHeight="1" x14ac:dyDescent="0.25">
      <c r="A65" s="60" t="s">
        <v>86</v>
      </c>
      <c r="B65" s="75">
        <v>-1550000000</v>
      </c>
      <c r="C65" s="75">
        <v>450000000</v>
      </c>
      <c r="D65" s="37"/>
      <c r="E65" s="19"/>
      <c r="F65" s="64"/>
      <c r="G65" s="64"/>
      <c r="H65" s="64"/>
      <c r="I65" s="64"/>
      <c r="J65" s="64"/>
      <c r="K65" s="64"/>
      <c r="L65" s="64"/>
      <c r="M65" s="64"/>
    </row>
    <row r="66" spans="1:13" ht="30.75" customHeight="1" x14ac:dyDescent="0.25">
      <c r="A66" s="60" t="s">
        <v>87</v>
      </c>
      <c r="B66" s="75">
        <v>-3120000000</v>
      </c>
      <c r="C66" s="75">
        <v>1477673800</v>
      </c>
      <c r="D66" s="37"/>
      <c r="E66" s="19"/>
      <c r="F66" s="64"/>
      <c r="G66" s="64"/>
      <c r="H66" s="64"/>
      <c r="I66" s="64"/>
      <c r="J66" s="64"/>
      <c r="K66" s="64"/>
      <c r="L66" s="64"/>
      <c r="M66" s="64"/>
    </row>
    <row r="67" spans="1:13" ht="31.5" x14ac:dyDescent="0.25">
      <c r="A67" s="60" t="s">
        <v>88</v>
      </c>
      <c r="B67" s="75">
        <v>-1800125500</v>
      </c>
      <c r="C67" s="75">
        <v>-2800125500</v>
      </c>
      <c r="D67" s="37"/>
      <c r="E67" s="19"/>
      <c r="F67" s="64"/>
      <c r="G67" s="64"/>
      <c r="H67" s="64"/>
      <c r="I67" s="64"/>
      <c r="J67" s="64"/>
      <c r="K67" s="64"/>
      <c r="L67" s="64"/>
      <c r="M67" s="64"/>
    </row>
    <row r="68" spans="1:13" ht="31.5" x14ac:dyDescent="0.25">
      <c r="A68" s="60" t="s">
        <v>89</v>
      </c>
      <c r="B68" s="75">
        <v>1798534735.55</v>
      </c>
      <c r="C68" s="75">
        <v>7006000</v>
      </c>
      <c r="D68" s="37"/>
      <c r="E68" s="19"/>
      <c r="F68" s="64"/>
      <c r="G68" s="64"/>
      <c r="H68" s="64"/>
      <c r="I68" s="64"/>
      <c r="J68" s="64"/>
      <c r="K68" s="64"/>
      <c r="L68" s="64"/>
      <c r="M68" s="64"/>
    </row>
    <row r="69" spans="1:13" ht="31.5" x14ac:dyDescent="0.25">
      <c r="A69" s="59" t="s">
        <v>34</v>
      </c>
      <c r="B69" s="75">
        <v>1844000</v>
      </c>
      <c r="C69" s="75">
        <v>59730000</v>
      </c>
      <c r="D69" s="37"/>
      <c r="E69" s="19"/>
      <c r="F69" s="64"/>
      <c r="G69" s="64"/>
      <c r="H69" s="64"/>
      <c r="I69" s="64"/>
      <c r="J69" s="64"/>
      <c r="K69" s="64"/>
      <c r="L69" s="64"/>
      <c r="M69" s="64"/>
    </row>
    <row r="70" spans="1:13" ht="31.5" x14ac:dyDescent="0.25">
      <c r="A70" s="18" t="s">
        <v>44</v>
      </c>
      <c r="B70" s="75">
        <v>0</v>
      </c>
      <c r="C70" s="75">
        <v>-52724000</v>
      </c>
      <c r="D70" s="37"/>
      <c r="E70" s="19"/>
      <c r="F70" s="64"/>
      <c r="G70" s="64"/>
      <c r="H70" s="64"/>
      <c r="I70" s="64"/>
      <c r="J70" s="64"/>
      <c r="K70" s="64"/>
      <c r="L70" s="64"/>
      <c r="M70" s="64"/>
    </row>
    <row r="71" spans="1:13" hidden="1" x14ac:dyDescent="0.25">
      <c r="A71" s="18" t="s">
        <v>41</v>
      </c>
      <c r="B71" s="41"/>
      <c r="C71" s="41"/>
      <c r="D71" s="37"/>
      <c r="E71" s="19"/>
      <c r="F71" s="64"/>
      <c r="G71" s="64"/>
      <c r="H71" s="64"/>
      <c r="I71" s="64"/>
      <c r="J71" s="64"/>
      <c r="K71" s="64"/>
      <c r="L71" s="64"/>
      <c r="M71" s="64"/>
    </row>
    <row r="72" spans="1:13" ht="31.5" x14ac:dyDescent="0.25">
      <c r="A72" s="18" t="s">
        <v>46</v>
      </c>
      <c r="B72" s="75">
        <v>95065882</v>
      </c>
      <c r="C72" s="75">
        <v>0</v>
      </c>
      <c r="D72" s="37"/>
      <c r="E72" s="19"/>
      <c r="F72" s="64"/>
      <c r="G72" s="64"/>
      <c r="H72" s="64"/>
      <c r="I72" s="64"/>
      <c r="J72" s="64"/>
      <c r="K72" s="64"/>
      <c r="L72" s="64"/>
      <c r="M72" s="64"/>
    </row>
    <row r="73" spans="1:13" ht="31.5" x14ac:dyDescent="0.25">
      <c r="A73" s="18" t="s">
        <v>45</v>
      </c>
      <c r="B73" s="75">
        <v>1701624853.55</v>
      </c>
      <c r="C73" s="75">
        <v>0</v>
      </c>
      <c r="D73" s="37"/>
      <c r="E73" s="19"/>
      <c r="F73" s="64"/>
      <c r="G73" s="64"/>
      <c r="H73" s="64"/>
      <c r="I73" s="64"/>
      <c r="J73" s="64"/>
      <c r="K73" s="64"/>
      <c r="L73" s="64"/>
      <c r="M73" s="64"/>
    </row>
    <row r="74" spans="1:13" ht="34.5" customHeight="1" x14ac:dyDescent="0.25">
      <c r="A74" s="61" t="s">
        <v>90</v>
      </c>
      <c r="B74" s="75">
        <v>-140558020.15000001</v>
      </c>
      <c r="C74" s="75">
        <v>159918855.31999999</v>
      </c>
      <c r="D74" s="37"/>
      <c r="E74" s="19"/>
      <c r="F74" s="64"/>
      <c r="G74" s="64"/>
      <c r="H74" s="64"/>
      <c r="I74" s="64"/>
      <c r="J74" s="64"/>
      <c r="K74" s="64"/>
      <c r="L74" s="64"/>
      <c r="M74" s="64"/>
    </row>
    <row r="75" spans="1:13" x14ac:dyDescent="0.25">
      <c r="A75" s="29"/>
      <c r="B75" s="28">
        <f>B63+B64</f>
        <v>0</v>
      </c>
      <c r="C75" s="28">
        <f>C63+C64</f>
        <v>0</v>
      </c>
      <c r="E75" s="64"/>
      <c r="F75" s="64"/>
      <c r="G75" s="64"/>
      <c r="H75" s="64"/>
      <c r="I75" s="64"/>
      <c r="J75" s="64"/>
      <c r="K75" s="64"/>
      <c r="L75" s="64"/>
      <c r="M75" s="64"/>
    </row>
    <row r="76" spans="1:13" ht="10.5" customHeight="1" x14ac:dyDescent="0.25">
      <c r="A76" s="30"/>
      <c r="B76" s="38"/>
      <c r="C76" s="35"/>
      <c r="E76" s="64"/>
      <c r="F76" s="64"/>
      <c r="G76" s="64"/>
      <c r="H76" s="64"/>
      <c r="I76" s="64"/>
      <c r="J76" s="64"/>
      <c r="K76" s="64"/>
      <c r="L76" s="64"/>
      <c r="M76" s="64"/>
    </row>
    <row r="77" spans="1:13" x14ac:dyDescent="0.25">
      <c r="B77" s="39"/>
      <c r="C77" s="36"/>
      <c r="E77" s="64"/>
      <c r="F77" s="64"/>
      <c r="G77" s="64"/>
      <c r="H77" s="64"/>
      <c r="I77" s="64"/>
      <c r="J77" s="64"/>
      <c r="K77" s="64"/>
      <c r="L77" s="64"/>
      <c r="M77" s="64"/>
    </row>
    <row r="78" spans="1:13" x14ac:dyDescent="0.25">
      <c r="B78" s="39"/>
      <c r="C78" s="36"/>
      <c r="E78" s="64"/>
      <c r="F78" s="64"/>
      <c r="G78" s="64"/>
      <c r="H78" s="64"/>
      <c r="I78" s="64"/>
      <c r="J78" s="64"/>
      <c r="K78" s="64"/>
      <c r="L78" s="64"/>
      <c r="M78" s="64"/>
    </row>
    <row r="79" spans="1:13" ht="12.75" customHeight="1" x14ac:dyDescent="0.25">
      <c r="A79" s="30"/>
      <c r="B79" s="38"/>
      <c r="C79" s="35"/>
      <c r="E79" s="64"/>
      <c r="F79" s="64"/>
      <c r="G79" s="64"/>
      <c r="H79" s="64"/>
      <c r="I79" s="64"/>
      <c r="J79" s="64"/>
      <c r="K79" s="64"/>
      <c r="L79" s="64"/>
      <c r="M79" s="64"/>
    </row>
    <row r="80" spans="1:13" ht="11.25" customHeight="1" x14ac:dyDescent="0.25">
      <c r="B80" s="32"/>
      <c r="C80" s="32"/>
      <c r="E80" s="64"/>
      <c r="F80" s="64"/>
      <c r="G80" s="64"/>
      <c r="H80" s="64"/>
      <c r="I80" s="64"/>
      <c r="J80" s="64"/>
      <c r="K80" s="64"/>
      <c r="L80" s="64"/>
      <c r="M80" s="64"/>
    </row>
    <row r="81" spans="1:3" x14ac:dyDescent="0.25">
      <c r="B81" s="27"/>
      <c r="C81" s="27"/>
    </row>
    <row r="82" spans="1:3" x14ac:dyDescent="0.25">
      <c r="B82" s="28"/>
      <c r="C82" s="28"/>
    </row>
    <row r="85" spans="1:3" ht="11.25" customHeight="1" x14ac:dyDescent="0.25">
      <c r="A85" s="30"/>
      <c r="B85" s="38"/>
      <c r="C85" s="35"/>
    </row>
    <row r="86" spans="1:3" x14ac:dyDescent="0.25">
      <c r="A86" s="29"/>
      <c r="B86" s="28"/>
      <c r="C86" s="28"/>
    </row>
  </sheetData>
  <customSheetViews>
    <customSheetView guid="{BD55AB36-084D-4C26-BAB2-482C24A270C8}" showPageBreaks="1" printArea="1" hiddenRows="1" state="hidden" view="pageBreakPreview">
      <pane xSplit="1" ySplit="3" topLeftCell="B57" activePane="bottomRight" state="frozen"/>
      <selection pane="bottomRight" activeCell="B52" sqref="B52"/>
      <rowBreaks count="2" manualBreakCount="2">
        <brk id="29" max="16383" man="1"/>
        <brk id="63" max="16383" man="1"/>
      </rowBreaks>
      <pageMargins left="0.62992125984251968" right="0.15748031496062992" top="0.59055118110236227" bottom="0.55118110236220474" header="0.15748031496062992" footer="0.15748031496062992"/>
      <pageSetup paperSize="9" fitToHeight="0" orientation="portrait" r:id="rId1"/>
      <headerFooter alignWithMargins="0"/>
    </customSheetView>
    <customSheetView guid="{34D410AD-58B4-4435-9ED5-15CA72283006}" showPageBreaks="1" printArea="1" hiddenRows="1" state="hidden" view="pageBreakPreview">
      <pane xSplit="1" ySplit="3" topLeftCell="B57" activePane="bottomRight" state="frozen"/>
      <selection pane="bottomRight" activeCell="B52" sqref="B52"/>
      <rowBreaks count="2" manualBreakCount="2">
        <brk id="29" max="16383" man="1"/>
        <brk id="63" max="16383" man="1"/>
      </rowBreaks>
      <pageMargins left="0.62992125984251968" right="0.15748031496062992" top="0.59055118110236227" bottom="0.55118110236220474" header="0.15748031496062992" footer="0.15748031496062992"/>
      <pageSetup paperSize="9" fitToHeight="0" orientation="portrait" r:id="rId2"/>
      <headerFooter alignWithMargins="0"/>
    </customSheetView>
    <customSheetView guid="{0E91F95C-B82B-4A7A-9432-6E8B0967BE54}" showPageBreaks="1" printArea="1" hiddenRows="1" state="hidden" view="pageBreakPreview">
      <pane xSplit="1" ySplit="3" topLeftCell="B57" activePane="bottomRight" state="frozen"/>
      <selection pane="bottomRight" activeCell="B52" sqref="B52"/>
      <rowBreaks count="2" manualBreakCount="2">
        <brk id="29" max="16383" man="1"/>
        <brk id="63" max="16383" man="1"/>
      </rowBreaks>
      <pageMargins left="0.62992125984251968" right="0.15748031496062992" top="0.59055118110236227" bottom="0.55118110236220474" header="0.15748031496062992" footer="0.15748031496062992"/>
      <pageSetup paperSize="9" fitToHeight="0" orientation="portrait" r:id="rId3"/>
      <headerFooter alignWithMargins="0"/>
    </customSheetView>
  </customSheetViews>
  <mergeCells count="1">
    <mergeCell ref="A1:C1"/>
  </mergeCells>
  <pageMargins left="0.62992125984251968" right="0.15748031496062992" top="0.59055118110236227" bottom="0.55118110236220474" header="0.15748031496062992" footer="0.15748031496062992"/>
  <pageSetup paperSize="9" fitToHeight="0" orientation="portrait" r:id="rId4"/>
  <headerFooter alignWithMargins="0"/>
  <rowBreaks count="2" manualBreakCount="2">
    <brk id="29" max="16383" man="1"/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view="pageBreakPreview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2" sqref="B52"/>
    </sheetView>
  </sheetViews>
  <sheetFormatPr defaultColWidth="9.140625" defaultRowHeight="15.75" x14ac:dyDescent="0.25"/>
  <cols>
    <col min="1" max="1" width="64.42578125" style="31" customWidth="1"/>
    <col min="2" max="2" width="17.5703125" style="14" customWidth="1"/>
    <col min="3" max="3" width="14.140625" style="14" customWidth="1"/>
    <col min="4" max="4" width="13.85546875" style="3" bestFit="1" customWidth="1"/>
    <col min="5" max="5" width="14.140625" style="3" bestFit="1" customWidth="1"/>
    <col min="6" max="6" width="24.7109375" style="3" customWidth="1"/>
    <col min="7" max="7" width="10.140625" style="3" customWidth="1"/>
    <col min="8" max="16384" width="9.140625" style="3"/>
  </cols>
  <sheetData>
    <row r="1" spans="1:13" s="1" customFormat="1" ht="36" customHeight="1" x14ac:dyDescent="0.25">
      <c r="A1" s="151" t="s">
        <v>82</v>
      </c>
      <c r="B1" s="151"/>
      <c r="C1" s="151"/>
    </row>
    <row r="2" spans="1:13" ht="13.5" customHeight="1" x14ac:dyDescent="0.25">
      <c r="A2" s="2"/>
      <c r="B2" s="33"/>
      <c r="C2" s="33" t="s">
        <v>48</v>
      </c>
    </row>
    <row r="3" spans="1:13" s="6" customFormat="1" ht="48.75" customHeight="1" x14ac:dyDescent="0.2">
      <c r="A3" s="4" t="s">
        <v>0</v>
      </c>
      <c r="B3" s="34" t="s">
        <v>84</v>
      </c>
      <c r="C3" s="34" t="s">
        <v>67</v>
      </c>
      <c r="D3" s="5"/>
    </row>
    <row r="4" spans="1:13" s="11" customFormat="1" x14ac:dyDescent="0.2">
      <c r="A4" s="7" t="s">
        <v>39</v>
      </c>
      <c r="B4" s="8"/>
      <c r="C4" s="8"/>
      <c r="D4" s="9"/>
      <c r="E4" s="10"/>
    </row>
    <row r="5" spans="1:13" s="15" customFormat="1" x14ac:dyDescent="0.25">
      <c r="A5" s="7" t="s">
        <v>1</v>
      </c>
      <c r="B5" s="40">
        <f>B6+B9+B14+B17+B21+B24+B25+B26+B28+B29+B27</f>
        <v>17041649.600000001</v>
      </c>
      <c r="C5" s="40">
        <f t="shared" ref="C5" si="0">C6+C9+C14+C17+C21+C24+C25+C26+C28+C29+C27</f>
        <v>23538035.699999999</v>
      </c>
      <c r="D5" s="37"/>
      <c r="E5" s="12"/>
      <c r="F5" s="62"/>
      <c r="G5" s="13"/>
      <c r="H5" s="13"/>
      <c r="I5" s="13"/>
      <c r="J5" s="13"/>
      <c r="K5" s="13"/>
      <c r="L5" s="13"/>
      <c r="M5" s="19"/>
    </row>
    <row r="6" spans="1:13" x14ac:dyDescent="0.25">
      <c r="A6" s="16" t="s">
        <v>2</v>
      </c>
      <c r="B6" s="41">
        <f>B7+B8</f>
        <v>10633392.300000001</v>
      </c>
      <c r="C6" s="41">
        <f>C7+C8</f>
        <v>14358900</v>
      </c>
      <c r="D6" s="37"/>
      <c r="E6" s="17"/>
      <c r="F6" s="63"/>
      <c r="G6" s="64"/>
      <c r="H6" s="64"/>
      <c r="I6" s="64"/>
      <c r="J6" s="64"/>
      <c r="K6" s="64"/>
      <c r="L6" s="64"/>
      <c r="M6" s="64"/>
    </row>
    <row r="7" spans="1:13" s="54" customFormat="1" x14ac:dyDescent="0.25">
      <c r="A7" s="56" t="s">
        <v>3</v>
      </c>
      <c r="B7" s="41">
        <v>5274494</v>
      </c>
      <c r="C7" s="41">
        <v>5913100</v>
      </c>
      <c r="D7" s="51"/>
      <c r="E7" s="52"/>
      <c r="F7" s="65"/>
      <c r="G7" s="52"/>
      <c r="H7" s="52"/>
      <c r="I7" s="52"/>
      <c r="J7" s="52"/>
      <c r="K7" s="52"/>
      <c r="L7" s="52"/>
      <c r="M7" s="52"/>
    </row>
    <row r="8" spans="1:13" x14ac:dyDescent="0.25">
      <c r="A8" s="18" t="s">
        <v>4</v>
      </c>
      <c r="B8" s="41">
        <v>5358898.3</v>
      </c>
      <c r="C8" s="41">
        <v>8445800</v>
      </c>
      <c r="D8" s="37"/>
      <c r="E8" s="19"/>
      <c r="F8" s="66"/>
      <c r="G8" s="64"/>
      <c r="H8" s="64"/>
      <c r="I8" s="64"/>
      <c r="J8" s="64"/>
      <c r="K8" s="64"/>
      <c r="L8" s="64"/>
      <c r="M8" s="64"/>
    </row>
    <row r="9" spans="1:13" ht="34.5" customHeight="1" x14ac:dyDescent="0.25">
      <c r="A9" s="16" t="s">
        <v>5</v>
      </c>
      <c r="B9" s="41">
        <f>B10</f>
        <v>1525723.4</v>
      </c>
      <c r="C9" s="41">
        <f>C10</f>
        <v>2290166</v>
      </c>
      <c r="D9" s="37"/>
      <c r="E9" s="19"/>
      <c r="F9" s="63"/>
      <c r="G9" s="64"/>
      <c r="H9" s="64"/>
      <c r="I9" s="64"/>
      <c r="J9" s="64"/>
      <c r="K9" s="64"/>
      <c r="L9" s="64"/>
      <c r="M9" s="64"/>
    </row>
    <row r="10" spans="1:13" x14ac:dyDescent="0.25">
      <c r="A10" s="18" t="s">
        <v>6</v>
      </c>
      <c r="B10" s="41">
        <f>B11+B12</f>
        <v>1525723.4</v>
      </c>
      <c r="C10" s="41">
        <f>C11+C12</f>
        <v>2290166</v>
      </c>
      <c r="D10" s="37"/>
      <c r="E10" s="19"/>
      <c r="F10" s="63"/>
      <c r="G10" s="64"/>
      <c r="H10" s="64"/>
      <c r="I10" s="64"/>
      <c r="J10" s="64"/>
      <c r="K10" s="64"/>
      <c r="L10" s="64"/>
      <c r="M10" s="64"/>
    </row>
    <row r="11" spans="1:13" x14ac:dyDescent="0.25">
      <c r="A11" s="18" t="s">
        <v>43</v>
      </c>
      <c r="B11" s="41">
        <v>265209.09999999998</v>
      </c>
      <c r="C11" s="41">
        <v>442408</v>
      </c>
      <c r="D11" s="37"/>
      <c r="E11" s="19"/>
      <c r="F11" s="66"/>
      <c r="G11" s="64"/>
      <c r="H11" s="64"/>
      <c r="I11" s="64"/>
      <c r="J11" s="64"/>
      <c r="K11" s="64"/>
      <c r="L11" s="64"/>
      <c r="M11" s="64"/>
    </row>
    <row r="12" spans="1:13" ht="32.25" customHeight="1" x14ac:dyDescent="0.25">
      <c r="A12" s="18" t="s">
        <v>71</v>
      </c>
      <c r="B12" s="41">
        <v>1260514.3</v>
      </c>
      <c r="C12" s="41">
        <v>1847758</v>
      </c>
      <c r="D12" s="37"/>
      <c r="E12" s="19"/>
      <c r="F12" s="63"/>
      <c r="G12" s="64"/>
      <c r="H12" s="64"/>
      <c r="I12" s="64"/>
      <c r="J12" s="64"/>
      <c r="K12" s="64"/>
      <c r="L12" s="64"/>
      <c r="M12" s="64"/>
    </row>
    <row r="13" spans="1:13" ht="31.5" hidden="1" x14ac:dyDescent="0.25">
      <c r="A13" s="18" t="s">
        <v>68</v>
      </c>
      <c r="B13" s="41">
        <f>'по отчету'!B13/1000</f>
        <v>0</v>
      </c>
      <c r="C13" s="41">
        <f>'по отчету'!C13/1000</f>
        <v>-0.4</v>
      </c>
      <c r="D13" s="37"/>
      <c r="E13" s="19"/>
      <c r="F13" s="67"/>
      <c r="G13" s="64"/>
      <c r="H13" s="64"/>
      <c r="I13" s="64"/>
      <c r="J13" s="64"/>
      <c r="K13" s="64"/>
      <c r="L13" s="64"/>
      <c r="M13" s="64"/>
    </row>
    <row r="14" spans="1:13" x14ac:dyDescent="0.25">
      <c r="A14" s="16" t="s">
        <v>7</v>
      </c>
      <c r="B14" s="41">
        <f>'по отчету'!B14/1000</f>
        <v>1237257.3</v>
      </c>
      <c r="C14" s="41">
        <f>C15</f>
        <v>1592858</v>
      </c>
      <c r="D14" s="37"/>
      <c r="E14" s="19"/>
      <c r="F14" s="63"/>
      <c r="G14" s="64"/>
      <c r="H14" s="64"/>
      <c r="I14" s="64"/>
      <c r="J14" s="64"/>
      <c r="K14" s="64"/>
      <c r="L14" s="64"/>
      <c r="M14" s="64"/>
    </row>
    <row r="15" spans="1:13" ht="31.5" x14ac:dyDescent="0.25">
      <c r="A15" s="18" t="s">
        <v>36</v>
      </c>
      <c r="B15" s="41">
        <v>1237257.3</v>
      </c>
      <c r="C15" s="41">
        <v>1592858</v>
      </c>
      <c r="D15" s="37"/>
      <c r="E15" s="19"/>
      <c r="F15" s="66"/>
      <c r="G15" s="64"/>
      <c r="H15" s="64"/>
      <c r="I15" s="64"/>
      <c r="J15" s="64"/>
      <c r="K15" s="64"/>
      <c r="L15" s="64"/>
      <c r="M15" s="64"/>
    </row>
    <row r="16" spans="1:13" hidden="1" x14ac:dyDescent="0.25">
      <c r="A16" s="18" t="s">
        <v>8</v>
      </c>
      <c r="B16" s="41">
        <f>'по отчету'!B16/1000</f>
        <v>0</v>
      </c>
      <c r="C16" s="41">
        <f>'по отчету'!C16/1000</f>
        <v>0</v>
      </c>
      <c r="D16" s="37"/>
      <c r="E16" s="19"/>
      <c r="F16" s="63"/>
      <c r="G16" s="64"/>
      <c r="H16" s="64"/>
      <c r="I16" s="64"/>
      <c r="J16" s="64"/>
      <c r="K16" s="64"/>
      <c r="L16" s="64"/>
      <c r="M16" s="64"/>
    </row>
    <row r="17" spans="1:13" x14ac:dyDescent="0.25">
      <c r="A17" s="16" t="s">
        <v>9</v>
      </c>
      <c r="B17" s="41">
        <f>B18+B19+B20</f>
        <v>2050508</v>
      </c>
      <c r="C17" s="41">
        <f>C18+C19+C20</f>
        <v>3040130</v>
      </c>
      <c r="D17" s="37"/>
      <c r="E17" s="19"/>
      <c r="F17" s="63"/>
      <c r="G17" s="64"/>
      <c r="H17" s="64"/>
      <c r="I17" s="64"/>
      <c r="J17" s="64"/>
      <c r="K17" s="64"/>
      <c r="L17" s="64"/>
      <c r="M17" s="64"/>
    </row>
    <row r="18" spans="1:13" x14ac:dyDescent="0.25">
      <c r="A18" s="18" t="s">
        <v>10</v>
      </c>
      <c r="B18" s="41">
        <v>1738248.3</v>
      </c>
      <c r="C18" s="41">
        <v>2330130</v>
      </c>
      <c r="D18" s="37"/>
      <c r="E18" s="19"/>
      <c r="F18" s="66"/>
      <c r="G18" s="64"/>
      <c r="H18" s="64"/>
      <c r="I18" s="64"/>
      <c r="J18" s="64"/>
      <c r="K18" s="64"/>
      <c r="L18" s="64"/>
      <c r="M18" s="64"/>
    </row>
    <row r="19" spans="1:13" x14ac:dyDescent="0.25">
      <c r="A19" s="18" t="s">
        <v>11</v>
      </c>
      <c r="B19" s="41">
        <v>311374.7</v>
      </c>
      <c r="C19" s="41">
        <v>708500</v>
      </c>
      <c r="D19" s="37"/>
      <c r="E19" s="19"/>
      <c r="F19" s="66"/>
      <c r="G19" s="64"/>
      <c r="H19" s="64"/>
      <c r="I19" s="64"/>
      <c r="J19" s="64"/>
      <c r="K19" s="64"/>
      <c r="L19" s="64"/>
      <c r="M19" s="64"/>
    </row>
    <row r="20" spans="1:13" x14ac:dyDescent="0.25">
      <c r="A20" s="18" t="s">
        <v>12</v>
      </c>
      <c r="B20" s="41">
        <v>885</v>
      </c>
      <c r="C20" s="41">
        <v>1500</v>
      </c>
      <c r="D20" s="37"/>
      <c r="E20" s="19"/>
      <c r="F20" s="66"/>
      <c r="G20" s="64"/>
      <c r="H20" s="64"/>
      <c r="I20" s="64"/>
      <c r="J20" s="64"/>
      <c r="K20" s="64"/>
      <c r="L20" s="64"/>
      <c r="M20" s="64"/>
    </row>
    <row r="21" spans="1:13" ht="31.5" x14ac:dyDescent="0.25">
      <c r="A21" s="16" t="s">
        <v>13</v>
      </c>
      <c r="B21" s="41">
        <f>B22+B23</f>
        <v>425079.6</v>
      </c>
      <c r="C21" s="41">
        <f>C22+C23</f>
        <v>634456</v>
      </c>
      <c r="D21" s="37"/>
      <c r="E21" s="19"/>
      <c r="F21" s="63"/>
      <c r="G21" s="64"/>
      <c r="H21" s="64"/>
      <c r="I21" s="64"/>
      <c r="J21" s="64"/>
      <c r="K21" s="64"/>
      <c r="L21" s="64"/>
      <c r="M21" s="64"/>
    </row>
    <row r="22" spans="1:13" x14ac:dyDescent="0.25">
      <c r="A22" s="18" t="s">
        <v>14</v>
      </c>
      <c r="B22" s="41">
        <v>402131.1</v>
      </c>
      <c r="C22" s="41">
        <v>589536</v>
      </c>
      <c r="D22" s="37"/>
      <c r="E22" s="19"/>
      <c r="F22" s="66"/>
      <c r="G22" s="64"/>
      <c r="H22" s="64"/>
      <c r="I22" s="64"/>
      <c r="J22" s="64"/>
      <c r="K22" s="64"/>
      <c r="L22" s="64"/>
      <c r="M22" s="64"/>
    </row>
    <row r="23" spans="1:13" ht="31.5" x14ac:dyDescent="0.25">
      <c r="A23" s="18" t="s">
        <v>15</v>
      </c>
      <c r="B23" s="41">
        <v>22948.5</v>
      </c>
      <c r="C23" s="41">
        <v>44920</v>
      </c>
      <c r="D23" s="37"/>
      <c r="E23" s="19"/>
      <c r="F23" s="66"/>
      <c r="G23" s="64"/>
      <c r="H23" s="64"/>
      <c r="I23" s="64"/>
      <c r="J23" s="64"/>
      <c r="K23" s="64"/>
      <c r="L23" s="64"/>
      <c r="M23" s="64"/>
    </row>
    <row r="24" spans="1:13" s="15" customFormat="1" x14ac:dyDescent="0.25">
      <c r="A24" s="20" t="s">
        <v>79</v>
      </c>
      <c r="B24" s="41">
        <v>74958.8</v>
      </c>
      <c r="C24" s="41">
        <v>122100</v>
      </c>
      <c r="D24" s="37"/>
      <c r="E24" s="19"/>
      <c r="F24" s="66"/>
      <c r="G24" s="19"/>
      <c r="H24" s="19"/>
      <c r="I24" s="19"/>
      <c r="J24" s="19"/>
      <c r="K24" s="19"/>
      <c r="L24" s="19"/>
      <c r="M24" s="19"/>
    </row>
    <row r="25" spans="1:13" ht="47.25" x14ac:dyDescent="0.25">
      <c r="A25" s="16" t="s">
        <v>17</v>
      </c>
      <c r="B25" s="41">
        <v>99504.6</v>
      </c>
      <c r="C25" s="41">
        <v>212161</v>
      </c>
      <c r="D25" s="37"/>
      <c r="E25" s="19"/>
      <c r="F25" s="66"/>
      <c r="G25" s="64"/>
      <c r="H25" s="64"/>
      <c r="I25" s="64"/>
      <c r="J25" s="64"/>
      <c r="K25" s="64"/>
      <c r="L25" s="64"/>
      <c r="M25" s="64"/>
    </row>
    <row r="26" spans="1:13" ht="18" customHeight="1" x14ac:dyDescent="0.25">
      <c r="A26" s="16" t="s">
        <v>18</v>
      </c>
      <c r="B26" s="41">
        <v>671221</v>
      </c>
      <c r="C26" s="41">
        <v>841598</v>
      </c>
      <c r="D26" s="37"/>
      <c r="E26" s="19"/>
      <c r="F26" s="66"/>
      <c r="G26" s="64"/>
      <c r="H26" s="64"/>
      <c r="I26" s="64"/>
      <c r="J26" s="64"/>
      <c r="K26" s="64"/>
      <c r="L26" s="64"/>
      <c r="M26" s="64"/>
    </row>
    <row r="27" spans="1:13" s="15" customFormat="1" ht="63" x14ac:dyDescent="0.25">
      <c r="A27" s="20" t="s">
        <v>80</v>
      </c>
      <c r="B27" s="41">
        <f>'по отчету'!B29/1000+136711.4</f>
        <v>158242.79999999999</v>
      </c>
      <c r="C27" s="41">
        <v>200466.7</v>
      </c>
      <c r="D27" s="37"/>
      <c r="E27" s="68"/>
      <c r="F27" s="66"/>
      <c r="G27" s="19"/>
      <c r="H27" s="19"/>
      <c r="I27" s="19"/>
      <c r="J27" s="19"/>
      <c r="K27" s="19"/>
      <c r="L27" s="19"/>
      <c r="M27" s="19"/>
    </row>
    <row r="28" spans="1:13" x14ac:dyDescent="0.25">
      <c r="A28" s="16" t="s">
        <v>19</v>
      </c>
      <c r="B28" s="41">
        <v>585</v>
      </c>
      <c r="C28" s="41">
        <v>1200</v>
      </c>
      <c r="D28" s="37"/>
      <c r="E28" s="19"/>
      <c r="F28" s="66"/>
      <c r="G28" s="64"/>
      <c r="H28" s="64"/>
      <c r="I28" s="64"/>
      <c r="J28" s="64"/>
      <c r="K28" s="64"/>
      <c r="L28" s="64"/>
      <c r="M28" s="64"/>
    </row>
    <row r="29" spans="1:13" ht="31.5" x14ac:dyDescent="0.25">
      <c r="A29" s="16" t="s">
        <v>81</v>
      </c>
      <c r="B29" s="41">
        <f>145209.3+19958.7+8.8</f>
        <v>165176.79999999999</v>
      </c>
      <c r="C29" s="41">
        <v>244000</v>
      </c>
      <c r="D29" s="37"/>
      <c r="E29" s="68"/>
      <c r="F29" s="66"/>
      <c r="G29" s="64"/>
      <c r="H29" s="64"/>
      <c r="I29" s="64"/>
      <c r="J29" s="64"/>
      <c r="K29" s="64"/>
      <c r="L29" s="64"/>
      <c r="M29" s="64"/>
    </row>
    <row r="30" spans="1:13" s="23" customFormat="1" x14ac:dyDescent="0.25">
      <c r="A30" s="7" t="s">
        <v>22</v>
      </c>
      <c r="B30" s="40">
        <f>B31+B39+B42+B43</f>
        <v>11749112.6</v>
      </c>
      <c r="C30" s="40">
        <f>C31+C39+C42+C43</f>
        <v>20883916.899999999</v>
      </c>
      <c r="D30" s="37"/>
      <c r="E30" s="12"/>
      <c r="F30" s="62"/>
      <c r="G30" s="21"/>
      <c r="H30" s="21"/>
      <c r="I30" s="21"/>
      <c r="J30" s="21"/>
      <c r="K30" s="21"/>
      <c r="L30" s="21"/>
      <c r="M30" s="25"/>
    </row>
    <row r="31" spans="1:13" ht="33" customHeight="1" x14ac:dyDescent="0.25">
      <c r="A31" s="16" t="s">
        <v>37</v>
      </c>
      <c r="B31" s="41">
        <f>B32+B36+B37+B38</f>
        <v>11188536.1</v>
      </c>
      <c r="C31" s="41">
        <f>C32+C36+C37+C38</f>
        <v>20089875.100000001</v>
      </c>
      <c r="D31" s="37"/>
      <c r="E31" s="13"/>
      <c r="F31" s="63"/>
      <c r="G31" s="69"/>
      <c r="H31" s="69"/>
      <c r="I31" s="64"/>
      <c r="J31" s="64"/>
      <c r="K31" s="64"/>
      <c r="L31" s="64"/>
      <c r="M31" s="64"/>
    </row>
    <row r="32" spans="1:13" ht="31.5" x14ac:dyDescent="0.25">
      <c r="A32" s="16" t="s">
        <v>23</v>
      </c>
      <c r="B32" s="41">
        <f>B33+B34+B35</f>
        <v>8982151</v>
      </c>
      <c r="C32" s="41">
        <f>C33+C34+C35</f>
        <v>13084604.4</v>
      </c>
      <c r="D32" s="37"/>
      <c r="E32" s="19"/>
      <c r="F32" s="63"/>
      <c r="G32" s="64"/>
      <c r="H32" s="64"/>
      <c r="I32" s="64"/>
      <c r="J32" s="64"/>
      <c r="K32" s="64"/>
      <c r="L32" s="64"/>
      <c r="M32" s="64"/>
    </row>
    <row r="33" spans="1:13" x14ac:dyDescent="0.25">
      <c r="A33" s="18" t="s">
        <v>69</v>
      </c>
      <c r="B33" s="41">
        <v>5695028</v>
      </c>
      <c r="C33" s="41">
        <v>8542541.4000000004</v>
      </c>
      <c r="D33" s="37"/>
      <c r="E33" s="19"/>
      <c r="F33" s="66"/>
      <c r="G33" s="64"/>
      <c r="H33" s="64"/>
      <c r="I33" s="64"/>
      <c r="J33" s="64"/>
      <c r="K33" s="64"/>
      <c r="L33" s="64"/>
      <c r="M33" s="64"/>
    </row>
    <row r="34" spans="1:13" ht="31.5" x14ac:dyDescent="0.25">
      <c r="A34" s="18" t="s">
        <v>70</v>
      </c>
      <c r="B34" s="41">
        <v>777235</v>
      </c>
      <c r="C34" s="41">
        <v>777235</v>
      </c>
      <c r="D34" s="37"/>
      <c r="E34" s="19"/>
      <c r="F34" s="66"/>
      <c r="G34" s="64"/>
      <c r="H34" s="64"/>
      <c r="I34" s="64"/>
      <c r="J34" s="64"/>
      <c r="K34" s="64"/>
      <c r="L34" s="64"/>
      <c r="M34" s="64"/>
    </row>
    <row r="35" spans="1:13" ht="47.25" x14ac:dyDescent="0.25">
      <c r="A35" s="18" t="s">
        <v>66</v>
      </c>
      <c r="B35" s="41">
        <v>2509888</v>
      </c>
      <c r="C35" s="41">
        <v>3764828</v>
      </c>
      <c r="D35" s="37"/>
      <c r="E35" s="19"/>
      <c r="F35" s="66"/>
      <c r="G35" s="64"/>
      <c r="H35" s="64"/>
      <c r="I35" s="64"/>
      <c r="J35" s="64"/>
      <c r="K35" s="64"/>
      <c r="L35" s="64"/>
      <c r="M35" s="64"/>
    </row>
    <row r="36" spans="1:13" ht="31.5" x14ac:dyDescent="0.25">
      <c r="A36" s="18" t="s">
        <v>24</v>
      </c>
      <c r="B36" s="41">
        <v>461549.8</v>
      </c>
      <c r="C36" s="41">
        <v>4228319.5</v>
      </c>
      <c r="D36" s="37"/>
      <c r="E36" s="19"/>
      <c r="F36" s="66"/>
      <c r="G36" s="64"/>
      <c r="H36" s="64"/>
      <c r="I36" s="64"/>
      <c r="J36" s="64"/>
      <c r="K36" s="64"/>
      <c r="L36" s="64"/>
      <c r="M36" s="64"/>
    </row>
    <row r="37" spans="1:13" ht="31.5" x14ac:dyDescent="0.25">
      <c r="A37" s="18" t="s">
        <v>25</v>
      </c>
      <c r="B37" s="41">
        <v>1547393.5</v>
      </c>
      <c r="C37" s="41">
        <v>2326233.9</v>
      </c>
      <c r="D37" s="37"/>
      <c r="E37" s="19"/>
      <c r="F37" s="66"/>
      <c r="G37" s="64"/>
      <c r="H37" s="64"/>
      <c r="I37" s="64"/>
      <c r="J37" s="64"/>
      <c r="K37" s="64"/>
      <c r="L37" s="64"/>
      <c r="M37" s="64"/>
    </row>
    <row r="38" spans="1:13" x14ac:dyDescent="0.25">
      <c r="A38" s="18" t="s">
        <v>26</v>
      </c>
      <c r="B38" s="41">
        <v>197441.8</v>
      </c>
      <c r="C38" s="41">
        <v>450717.3</v>
      </c>
      <c r="D38" s="37"/>
      <c r="E38" s="19"/>
      <c r="F38" s="66"/>
      <c r="G38" s="64"/>
      <c r="H38" s="64"/>
      <c r="I38" s="64"/>
      <c r="J38" s="64"/>
      <c r="K38" s="64"/>
      <c r="L38" s="64"/>
      <c r="M38" s="64"/>
    </row>
    <row r="39" spans="1:13" ht="31.5" x14ac:dyDescent="0.25">
      <c r="A39" s="16" t="s">
        <v>28</v>
      </c>
      <c r="B39" s="41">
        <v>609781.1</v>
      </c>
      <c r="C39" s="41">
        <v>838819.7</v>
      </c>
      <c r="D39" s="37"/>
      <c r="E39" s="19"/>
      <c r="F39" s="66"/>
      <c r="G39" s="64"/>
      <c r="H39" s="64"/>
      <c r="I39" s="64"/>
      <c r="J39" s="64"/>
      <c r="K39" s="64"/>
      <c r="L39" s="64"/>
      <c r="M39" s="64"/>
    </row>
    <row r="40" spans="1:13" ht="31.5" hidden="1" x14ac:dyDescent="0.25">
      <c r="A40" s="16" t="s">
        <v>38</v>
      </c>
      <c r="B40" s="41">
        <v>0</v>
      </c>
      <c r="C40" s="41">
        <v>0</v>
      </c>
      <c r="D40" s="37"/>
      <c r="E40" s="19"/>
      <c r="F40" s="63"/>
      <c r="G40" s="64"/>
      <c r="H40" s="64"/>
      <c r="I40" s="64"/>
      <c r="J40" s="64"/>
      <c r="K40" s="64"/>
      <c r="L40" s="64"/>
      <c r="M40" s="64"/>
    </row>
    <row r="41" spans="1:13" hidden="1" x14ac:dyDescent="0.25">
      <c r="A41" s="16" t="s">
        <v>42</v>
      </c>
      <c r="B41" s="41">
        <v>0</v>
      </c>
      <c r="C41" s="41">
        <v>0</v>
      </c>
      <c r="D41" s="37"/>
      <c r="E41" s="19"/>
      <c r="F41" s="63"/>
      <c r="G41" s="64"/>
      <c r="H41" s="64"/>
      <c r="I41" s="64"/>
      <c r="J41" s="64"/>
      <c r="K41" s="64"/>
      <c r="L41" s="64"/>
      <c r="M41" s="64"/>
    </row>
    <row r="42" spans="1:13" x14ac:dyDescent="0.25">
      <c r="A42" s="16" t="s">
        <v>72</v>
      </c>
      <c r="B42" s="41">
        <v>4285</v>
      </c>
      <c r="C42" s="41">
        <v>8139.2</v>
      </c>
      <c r="D42" s="37"/>
      <c r="E42" s="19"/>
      <c r="F42" s="66"/>
      <c r="G42" s="64"/>
      <c r="H42" s="64"/>
      <c r="I42" s="64"/>
      <c r="J42" s="64"/>
      <c r="K42" s="64"/>
      <c r="L42" s="64"/>
      <c r="M42" s="64"/>
    </row>
    <row r="43" spans="1:13" s="26" customFormat="1" ht="63" x14ac:dyDescent="0.25">
      <c r="A43" s="20" t="s">
        <v>73</v>
      </c>
      <c r="B43" s="41">
        <v>-53489.599999999999</v>
      </c>
      <c r="C43" s="41">
        <v>-52917.1</v>
      </c>
      <c r="D43" s="37"/>
      <c r="E43" s="25"/>
      <c r="F43" s="66"/>
      <c r="G43" s="70"/>
      <c r="H43" s="70"/>
      <c r="I43" s="70"/>
      <c r="J43" s="70"/>
      <c r="K43" s="70"/>
      <c r="L43" s="70"/>
      <c r="M43" s="70"/>
    </row>
    <row r="44" spans="1:13" s="26" customFormat="1" ht="31.5" hidden="1" x14ac:dyDescent="0.25">
      <c r="A44" s="20" t="s">
        <v>21</v>
      </c>
      <c r="B44" s="41"/>
      <c r="C44" s="41"/>
      <c r="D44" s="37"/>
      <c r="E44" s="25"/>
      <c r="F44" s="63"/>
      <c r="G44" s="70"/>
      <c r="H44" s="70"/>
      <c r="I44" s="70"/>
      <c r="J44" s="70"/>
      <c r="K44" s="70"/>
      <c r="L44" s="70"/>
      <c r="M44" s="70"/>
    </row>
    <row r="45" spans="1:13" s="23" customFormat="1" x14ac:dyDescent="0.25">
      <c r="A45" s="7" t="s">
        <v>49</v>
      </c>
      <c r="B45" s="43">
        <f>B5+B30</f>
        <v>28790762.199999999</v>
      </c>
      <c r="C45" s="43">
        <f>C5+C30</f>
        <v>44421952.600000001</v>
      </c>
      <c r="D45" s="37"/>
      <c r="E45" s="12"/>
      <c r="F45" s="71"/>
      <c r="G45" s="21"/>
      <c r="H45" s="21"/>
      <c r="I45" s="21"/>
      <c r="J45" s="21"/>
      <c r="K45" s="21"/>
      <c r="L45" s="21"/>
      <c r="M45" s="25"/>
    </row>
    <row r="46" spans="1:13" s="23" customFormat="1" x14ac:dyDescent="0.25">
      <c r="A46" s="7" t="s">
        <v>40</v>
      </c>
      <c r="B46" s="44"/>
      <c r="C46" s="41"/>
      <c r="D46" s="37"/>
      <c r="E46" s="25"/>
      <c r="F46" s="72"/>
      <c r="G46" s="25"/>
      <c r="H46" s="25"/>
      <c r="I46" s="25"/>
      <c r="J46" s="25"/>
      <c r="K46" s="25"/>
      <c r="L46" s="25"/>
      <c r="M46" s="25"/>
    </row>
    <row r="47" spans="1:13" x14ac:dyDescent="0.25">
      <c r="A47" s="20" t="s">
        <v>50</v>
      </c>
      <c r="B47" s="41">
        <v>896995.1</v>
      </c>
      <c r="C47" s="41">
        <v>1783911.5</v>
      </c>
      <c r="D47" s="37"/>
      <c r="E47" s="73"/>
      <c r="F47" s="73"/>
      <c r="G47" s="73"/>
      <c r="H47" s="69"/>
      <c r="I47" s="69"/>
      <c r="J47" s="69"/>
      <c r="K47" s="69"/>
      <c r="L47" s="64"/>
      <c r="M47" s="64"/>
    </row>
    <row r="48" spans="1:13" x14ac:dyDescent="0.25">
      <c r="A48" s="20" t="s">
        <v>51</v>
      </c>
      <c r="B48" s="41">
        <v>9470</v>
      </c>
      <c r="C48" s="41">
        <v>18815.5</v>
      </c>
      <c r="D48" s="37"/>
      <c r="E48" s="73"/>
      <c r="F48" s="73"/>
      <c r="G48" s="73"/>
      <c r="H48" s="69"/>
      <c r="I48" s="69"/>
      <c r="J48" s="69"/>
      <c r="K48" s="69"/>
      <c r="L48" s="64"/>
      <c r="M48" s="64"/>
    </row>
    <row r="49" spans="1:13" ht="17.25" customHeight="1" x14ac:dyDescent="0.25">
      <c r="A49" s="20" t="s">
        <v>52</v>
      </c>
      <c r="B49" s="41">
        <v>461296.7</v>
      </c>
      <c r="C49" s="41">
        <v>824335.6</v>
      </c>
      <c r="D49" s="37"/>
      <c r="E49" s="73"/>
      <c r="F49" s="73"/>
      <c r="G49" s="73"/>
      <c r="H49" s="69"/>
      <c r="I49" s="69"/>
      <c r="J49" s="69"/>
      <c r="K49" s="69"/>
      <c r="L49" s="64"/>
      <c r="M49" s="64"/>
    </row>
    <row r="50" spans="1:13" x14ac:dyDescent="0.25">
      <c r="A50" s="20" t="s">
        <v>53</v>
      </c>
      <c r="B50" s="41">
        <v>2708222.5</v>
      </c>
      <c r="C50" s="41">
        <v>6829866</v>
      </c>
      <c r="D50" s="37"/>
      <c r="E50" s="73"/>
      <c r="F50" s="73"/>
      <c r="G50" s="73"/>
      <c r="H50" s="69"/>
      <c r="I50" s="69"/>
      <c r="J50" s="69"/>
      <c r="K50" s="69"/>
      <c r="L50" s="64"/>
      <c r="M50" s="64"/>
    </row>
    <row r="51" spans="1:13" x14ac:dyDescent="0.25">
      <c r="A51" s="20" t="s">
        <v>54</v>
      </c>
      <c r="B51" s="41">
        <v>1242387</v>
      </c>
      <c r="C51" s="41">
        <v>3850202.8</v>
      </c>
      <c r="D51" s="37"/>
      <c r="E51" s="73"/>
      <c r="F51" s="73"/>
      <c r="G51" s="73"/>
      <c r="H51" s="69"/>
      <c r="I51" s="69"/>
      <c r="J51" s="69"/>
      <c r="K51" s="69"/>
      <c r="L51" s="64"/>
      <c r="M51" s="64"/>
    </row>
    <row r="52" spans="1:13" x14ac:dyDescent="0.25">
      <c r="A52" s="20" t="s">
        <v>55</v>
      </c>
      <c r="B52" s="41">
        <v>1137531</v>
      </c>
      <c r="C52" s="41">
        <v>4395897.5999999996</v>
      </c>
      <c r="D52" s="37"/>
      <c r="E52" s="73"/>
      <c r="F52" s="73"/>
      <c r="G52" s="73"/>
      <c r="H52" s="69"/>
      <c r="I52" s="69"/>
      <c r="J52" s="69"/>
      <c r="K52" s="69"/>
      <c r="L52" s="64"/>
      <c r="M52" s="64"/>
    </row>
    <row r="53" spans="1:13" x14ac:dyDescent="0.25">
      <c r="A53" s="20" t="s">
        <v>56</v>
      </c>
      <c r="B53" s="41">
        <v>6372.3</v>
      </c>
      <c r="C53" s="41">
        <v>14900.5</v>
      </c>
      <c r="D53" s="37"/>
      <c r="E53" s="73"/>
      <c r="F53" s="73"/>
      <c r="G53" s="73"/>
      <c r="H53" s="69"/>
      <c r="I53" s="69"/>
      <c r="J53" s="69"/>
      <c r="K53" s="69"/>
      <c r="L53" s="64"/>
      <c r="M53" s="64"/>
    </row>
    <row r="54" spans="1:13" x14ac:dyDescent="0.25">
      <c r="A54" s="20" t="s">
        <v>57</v>
      </c>
      <c r="B54" s="41">
        <v>5254111.5</v>
      </c>
      <c r="C54" s="41">
        <v>8269179</v>
      </c>
      <c r="D54" s="37"/>
      <c r="E54" s="73"/>
      <c r="F54" s="73"/>
      <c r="G54" s="73"/>
      <c r="H54" s="69"/>
      <c r="I54" s="69"/>
      <c r="J54" s="69"/>
      <c r="K54" s="69"/>
      <c r="L54" s="64"/>
      <c r="M54" s="64"/>
    </row>
    <row r="55" spans="1:13" x14ac:dyDescent="0.25">
      <c r="A55" s="20" t="s">
        <v>58</v>
      </c>
      <c r="B55" s="41">
        <v>635297.9</v>
      </c>
      <c r="C55" s="41">
        <v>1140727</v>
      </c>
      <c r="D55" s="37"/>
      <c r="E55" s="73"/>
      <c r="F55" s="73"/>
      <c r="G55" s="73"/>
      <c r="H55" s="69"/>
      <c r="I55" s="69"/>
      <c r="J55" s="69"/>
      <c r="K55" s="69"/>
      <c r="L55" s="64"/>
      <c r="M55" s="64"/>
    </row>
    <row r="56" spans="1:13" x14ac:dyDescent="0.25">
      <c r="A56" s="20" t="s">
        <v>59</v>
      </c>
      <c r="B56" s="41">
        <v>1430066.8</v>
      </c>
      <c r="C56" s="41">
        <v>3088130.4</v>
      </c>
      <c r="D56" s="37"/>
      <c r="E56" s="73"/>
      <c r="F56" s="73"/>
      <c r="G56" s="73"/>
      <c r="H56" s="69"/>
      <c r="I56" s="69"/>
      <c r="J56" s="69"/>
      <c r="K56" s="69"/>
      <c r="L56" s="64"/>
      <c r="M56" s="64"/>
    </row>
    <row r="57" spans="1:13" x14ac:dyDescent="0.25">
      <c r="A57" s="20" t="s">
        <v>60</v>
      </c>
      <c r="B57" s="41">
        <v>9083408.6999999993</v>
      </c>
      <c r="C57" s="41">
        <v>14027726.4</v>
      </c>
      <c r="D57" s="37"/>
      <c r="E57" s="73"/>
      <c r="F57" s="73"/>
      <c r="G57" s="73"/>
      <c r="H57" s="69"/>
      <c r="I57" s="69"/>
      <c r="J57" s="69"/>
      <c r="K57" s="69"/>
      <c r="L57" s="64"/>
      <c r="M57" s="64"/>
    </row>
    <row r="58" spans="1:13" x14ac:dyDescent="0.25">
      <c r="A58" s="20" t="s">
        <v>61</v>
      </c>
      <c r="B58" s="41">
        <v>130489.5</v>
      </c>
      <c r="C58" s="41">
        <v>498361.4</v>
      </c>
      <c r="D58" s="37"/>
      <c r="E58" s="73"/>
      <c r="F58" s="73"/>
      <c r="G58" s="73"/>
      <c r="H58" s="69"/>
      <c r="I58" s="69"/>
      <c r="J58" s="69"/>
      <c r="K58" s="69"/>
      <c r="L58" s="64"/>
      <c r="M58" s="64"/>
    </row>
    <row r="59" spans="1:13" x14ac:dyDescent="0.25">
      <c r="A59" s="20" t="s">
        <v>62</v>
      </c>
      <c r="B59" s="41">
        <v>63055.5</v>
      </c>
      <c r="C59" s="41">
        <v>93514.7</v>
      </c>
      <c r="D59" s="37"/>
      <c r="E59" s="73"/>
      <c r="F59" s="73"/>
      <c r="G59" s="73"/>
      <c r="H59" s="69"/>
      <c r="I59" s="69"/>
      <c r="J59" s="69"/>
      <c r="K59" s="69"/>
      <c r="L59" s="64"/>
      <c r="M59" s="64"/>
    </row>
    <row r="60" spans="1:13" x14ac:dyDescent="0.25">
      <c r="A60" s="20" t="s">
        <v>63</v>
      </c>
      <c r="B60" s="41">
        <v>671554.6</v>
      </c>
      <c r="C60" s="41">
        <v>1304677.2</v>
      </c>
      <c r="D60" s="37"/>
      <c r="E60" s="73"/>
      <c r="F60" s="73"/>
      <c r="G60" s="73"/>
      <c r="H60" s="69"/>
      <c r="I60" s="69"/>
      <c r="J60" s="69"/>
      <c r="K60" s="69"/>
      <c r="L60" s="64"/>
      <c r="M60" s="64"/>
    </row>
    <row r="61" spans="1:13" ht="33" customHeight="1" x14ac:dyDescent="0.25">
      <c r="A61" s="20" t="s">
        <v>64</v>
      </c>
      <c r="B61" s="41">
        <v>789110</v>
      </c>
      <c r="C61" s="41">
        <v>1426383</v>
      </c>
      <c r="D61" s="37"/>
      <c r="E61" s="73"/>
      <c r="F61" s="73"/>
      <c r="G61" s="73"/>
      <c r="H61" s="69"/>
      <c r="I61" s="69"/>
      <c r="J61" s="69"/>
      <c r="K61" s="69"/>
      <c r="L61" s="64"/>
      <c r="M61" s="64"/>
    </row>
    <row r="62" spans="1:13" s="15" customFormat="1" x14ac:dyDescent="0.25">
      <c r="A62" s="7" t="s">
        <v>65</v>
      </c>
      <c r="B62" s="40">
        <f>SUM(B47:B50,B52:B61)</f>
        <v>23276982.100000001</v>
      </c>
      <c r="C62" s="40">
        <f>SUM(C47:C50,C52:C61)</f>
        <v>43716425.799999997</v>
      </c>
      <c r="D62" s="37"/>
      <c r="E62" s="12"/>
      <c r="F62" s="62"/>
      <c r="G62" s="27"/>
      <c r="H62" s="27"/>
      <c r="I62" s="27"/>
      <c r="J62" s="13"/>
      <c r="K62" s="13"/>
      <c r="L62" s="19"/>
      <c r="M62" s="19"/>
    </row>
    <row r="63" spans="1:13" s="23" customFormat="1" ht="31.5" x14ac:dyDescent="0.25">
      <c r="A63" s="7" t="s">
        <v>47</v>
      </c>
      <c r="B63" s="40">
        <f>B5+B30-B62</f>
        <v>5513780.0999999996</v>
      </c>
      <c r="C63" s="40">
        <f>C5+C30-C62</f>
        <v>705526.8</v>
      </c>
      <c r="D63" s="37"/>
      <c r="E63" s="12"/>
      <c r="F63" s="62"/>
      <c r="G63" s="21"/>
      <c r="H63" s="21"/>
      <c r="I63" s="21"/>
      <c r="J63" s="21"/>
      <c r="K63" s="25"/>
      <c r="L63" s="25"/>
      <c r="M63" s="25"/>
    </row>
    <row r="64" spans="1:13" s="23" customFormat="1" ht="31.5" customHeight="1" x14ac:dyDescent="0.25">
      <c r="A64" s="58" t="s">
        <v>29</v>
      </c>
      <c r="B64" s="40">
        <f>B65+B66+B67+B68+B74</f>
        <v>-5513780.0999999996</v>
      </c>
      <c r="C64" s="40">
        <f>C65+C66+C67+C68+C74</f>
        <v>-705526.8</v>
      </c>
      <c r="D64" s="37"/>
      <c r="E64" s="21"/>
      <c r="F64" s="21"/>
      <c r="G64" s="21"/>
      <c r="H64" s="21"/>
      <c r="I64" s="25"/>
      <c r="J64" s="25"/>
      <c r="K64" s="25"/>
      <c r="L64" s="25"/>
      <c r="M64" s="25"/>
    </row>
    <row r="65" spans="1:13" ht="48" customHeight="1" x14ac:dyDescent="0.25">
      <c r="A65" s="60" t="s">
        <v>86</v>
      </c>
      <c r="B65" s="57">
        <v>-1550000</v>
      </c>
      <c r="C65" s="41">
        <v>450000</v>
      </c>
      <c r="D65" s="37"/>
      <c r="E65" s="19"/>
      <c r="F65" s="64"/>
      <c r="G65" s="64"/>
      <c r="H65" s="64"/>
      <c r="I65" s="64"/>
      <c r="J65" s="64"/>
      <c r="K65" s="64"/>
      <c r="L65" s="64"/>
      <c r="M65" s="64"/>
    </row>
    <row r="66" spans="1:13" ht="30.75" customHeight="1" x14ac:dyDescent="0.25">
      <c r="A66" s="60" t="s">
        <v>87</v>
      </c>
      <c r="B66" s="57">
        <v>-2320000</v>
      </c>
      <c r="C66" s="41">
        <v>1477673.8</v>
      </c>
      <c r="D66" s="37"/>
      <c r="E66" s="19"/>
      <c r="F66" s="64"/>
      <c r="G66" s="64"/>
      <c r="H66" s="64"/>
      <c r="I66" s="64"/>
      <c r="J66" s="64"/>
      <c r="K66" s="64"/>
      <c r="L66" s="64"/>
      <c r="M66" s="64"/>
    </row>
    <row r="67" spans="1:13" ht="31.5" x14ac:dyDescent="0.25">
      <c r="A67" s="60" t="s">
        <v>88</v>
      </c>
      <c r="B67" s="57">
        <v>-2800125.5</v>
      </c>
      <c r="C67" s="41">
        <v>-2800125.5</v>
      </c>
      <c r="D67" s="37"/>
      <c r="E67" s="19"/>
      <c r="F67" s="64"/>
      <c r="G67" s="64"/>
      <c r="H67" s="64"/>
      <c r="I67" s="64"/>
      <c r="J67" s="64"/>
      <c r="K67" s="64"/>
      <c r="L67" s="64"/>
      <c r="M67" s="64"/>
    </row>
    <row r="68" spans="1:13" ht="31.5" x14ac:dyDescent="0.25">
      <c r="A68" s="60" t="s">
        <v>89</v>
      </c>
      <c r="B68" s="57">
        <v>1488381.9</v>
      </c>
      <c r="C68" s="41">
        <f>C69+C70+C72</f>
        <v>7006</v>
      </c>
      <c r="D68" s="37"/>
      <c r="E68" s="19"/>
      <c r="F68" s="64"/>
      <c r="G68" s="64"/>
      <c r="H68" s="64"/>
      <c r="I68" s="64"/>
      <c r="J68" s="64"/>
      <c r="K68" s="64"/>
      <c r="L68" s="64"/>
      <c r="M68" s="64"/>
    </row>
    <row r="69" spans="1:13" ht="31.5" x14ac:dyDescent="0.25">
      <c r="A69" s="59" t="s">
        <v>34</v>
      </c>
      <c r="B69" s="41">
        <v>1844</v>
      </c>
      <c r="C69" s="41">
        <v>59730</v>
      </c>
      <c r="D69" s="37"/>
      <c r="E69" s="19"/>
      <c r="F69" s="64"/>
      <c r="G69" s="64"/>
      <c r="H69" s="64"/>
      <c r="I69" s="64"/>
      <c r="J69" s="64"/>
      <c r="K69" s="64"/>
      <c r="L69" s="64"/>
      <c r="M69" s="64"/>
    </row>
    <row r="70" spans="1:13" ht="31.5" x14ac:dyDescent="0.25">
      <c r="A70" s="18" t="s">
        <v>44</v>
      </c>
      <c r="B70" s="41">
        <v>0</v>
      </c>
      <c r="C70" s="41">
        <v>-52724</v>
      </c>
      <c r="D70" s="37"/>
      <c r="E70" s="19"/>
      <c r="F70" s="64"/>
      <c r="G70" s="64"/>
      <c r="H70" s="64"/>
      <c r="I70" s="64"/>
      <c r="J70" s="64"/>
      <c r="K70" s="64"/>
      <c r="L70" s="64"/>
      <c r="M70" s="64"/>
    </row>
    <row r="71" spans="1:13" hidden="1" x14ac:dyDescent="0.25">
      <c r="A71" s="18" t="s">
        <v>41</v>
      </c>
      <c r="B71" s="41"/>
      <c r="C71" s="41"/>
      <c r="D71" s="37"/>
      <c r="E71" s="19"/>
      <c r="F71" s="64"/>
      <c r="G71" s="64"/>
      <c r="H71" s="64"/>
      <c r="I71" s="64"/>
      <c r="J71" s="64"/>
      <c r="K71" s="64"/>
      <c r="L71" s="64"/>
      <c r="M71" s="64"/>
    </row>
    <row r="72" spans="1:13" ht="31.5" x14ac:dyDescent="0.25">
      <c r="A72" s="18" t="s">
        <v>46</v>
      </c>
      <c r="B72" s="41">
        <v>112257.5</v>
      </c>
      <c r="C72" s="41">
        <v>0</v>
      </c>
      <c r="D72" s="37"/>
      <c r="E72" s="19"/>
      <c r="F72" s="64"/>
      <c r="G72" s="64"/>
      <c r="H72" s="64"/>
      <c r="I72" s="64"/>
      <c r="J72" s="64"/>
      <c r="K72" s="64"/>
      <c r="L72" s="64"/>
      <c r="M72" s="64"/>
    </row>
    <row r="73" spans="1:13" ht="31.5" x14ac:dyDescent="0.25">
      <c r="A73" s="18" t="s">
        <v>45</v>
      </c>
      <c r="B73" s="41">
        <v>1374280.4</v>
      </c>
      <c r="C73" s="41">
        <v>0</v>
      </c>
      <c r="D73" s="37"/>
      <c r="E73" s="19"/>
      <c r="F73" s="64"/>
      <c r="G73" s="64"/>
      <c r="H73" s="64"/>
      <c r="I73" s="64"/>
      <c r="J73" s="64"/>
      <c r="K73" s="64"/>
      <c r="L73" s="64"/>
      <c r="M73" s="64"/>
    </row>
    <row r="74" spans="1:13" ht="34.5" customHeight="1" x14ac:dyDescent="0.25">
      <c r="A74" s="61" t="s">
        <v>90</v>
      </c>
      <c r="B74" s="41">
        <v>-332036.5</v>
      </c>
      <c r="C74" s="41">
        <v>159918.9</v>
      </c>
      <c r="D74" s="37"/>
      <c r="E74" s="19"/>
      <c r="F74" s="64"/>
      <c r="G74" s="64"/>
      <c r="H74" s="64"/>
      <c r="I74" s="64"/>
      <c r="J74" s="64"/>
      <c r="K74" s="64"/>
      <c r="L74" s="64"/>
      <c r="M74" s="64"/>
    </row>
    <row r="75" spans="1:13" x14ac:dyDescent="0.25">
      <c r="A75" s="29"/>
      <c r="B75" s="28">
        <f>B63+B64</f>
        <v>0</v>
      </c>
      <c r="C75" s="28">
        <f>C63+C64</f>
        <v>0</v>
      </c>
      <c r="E75" s="64"/>
      <c r="F75" s="64"/>
      <c r="G75" s="64"/>
      <c r="H75" s="64"/>
      <c r="I75" s="64"/>
      <c r="J75" s="64"/>
      <c r="K75" s="64"/>
      <c r="L75" s="64"/>
      <c r="M75" s="64"/>
    </row>
    <row r="76" spans="1:13" ht="10.5" customHeight="1" x14ac:dyDescent="0.25">
      <c r="A76" s="30"/>
      <c r="B76" s="38"/>
      <c r="C76" s="35"/>
      <c r="E76" s="64"/>
      <c r="F76" s="64"/>
      <c r="G76" s="64"/>
      <c r="H76" s="64"/>
      <c r="I76" s="64"/>
      <c r="J76" s="64"/>
      <c r="K76" s="64"/>
      <c r="L76" s="64"/>
      <c r="M76" s="64"/>
    </row>
    <row r="77" spans="1:13" x14ac:dyDescent="0.25">
      <c r="B77" s="39"/>
      <c r="C77" s="36"/>
      <c r="E77" s="64"/>
      <c r="F77" s="64"/>
      <c r="G77" s="64"/>
      <c r="H77" s="64"/>
      <c r="I77" s="64"/>
      <c r="J77" s="64"/>
      <c r="K77" s="64"/>
      <c r="L77" s="64"/>
      <c r="M77" s="64"/>
    </row>
    <row r="78" spans="1:13" x14ac:dyDescent="0.25">
      <c r="B78" s="39"/>
      <c r="C78" s="36"/>
      <c r="E78" s="64"/>
      <c r="F78" s="64"/>
      <c r="G78" s="64"/>
      <c r="H78" s="64"/>
      <c r="I78" s="64"/>
      <c r="J78" s="64"/>
      <c r="K78" s="64"/>
      <c r="L78" s="64"/>
      <c r="M78" s="64"/>
    </row>
    <row r="79" spans="1:13" ht="12.75" customHeight="1" x14ac:dyDescent="0.25">
      <c r="A79" s="30"/>
      <c r="B79" s="38"/>
      <c r="C79" s="35"/>
      <c r="E79" s="64"/>
      <c r="F79" s="64"/>
      <c r="G79" s="64"/>
      <c r="H79" s="64"/>
      <c r="I79" s="64"/>
      <c r="J79" s="64"/>
      <c r="K79" s="64"/>
      <c r="L79" s="64"/>
      <c r="M79" s="64"/>
    </row>
    <row r="80" spans="1:13" ht="11.25" customHeight="1" x14ac:dyDescent="0.25">
      <c r="B80" s="32"/>
      <c r="C80" s="32"/>
      <c r="E80" s="64"/>
      <c r="F80" s="64"/>
      <c r="G80" s="64"/>
      <c r="H80" s="64"/>
      <c r="I80" s="64"/>
      <c r="J80" s="64"/>
      <c r="K80" s="64"/>
      <c r="L80" s="64"/>
      <c r="M80" s="64"/>
    </row>
    <row r="81" spans="1:3" x14ac:dyDescent="0.25">
      <c r="B81" s="27"/>
      <c r="C81" s="27"/>
    </row>
    <row r="82" spans="1:3" x14ac:dyDescent="0.25">
      <c r="B82" s="28"/>
      <c r="C82" s="28"/>
    </row>
    <row r="85" spans="1:3" ht="11.25" customHeight="1" x14ac:dyDescent="0.25">
      <c r="A85" s="30"/>
      <c r="B85" s="38"/>
      <c r="C85" s="35"/>
    </row>
    <row r="86" spans="1:3" x14ac:dyDescent="0.25">
      <c r="A86" s="29"/>
      <c r="B86" s="28"/>
      <c r="C86" s="28"/>
    </row>
  </sheetData>
  <customSheetViews>
    <customSheetView guid="{BD55AB36-084D-4C26-BAB2-482C24A270C8}" showPageBreaks="1" printArea="1" hiddenRows="1" state="hidden" view="pageBreakPreview">
      <pane xSplit="1" ySplit="3" topLeftCell="B4" activePane="bottomRight" state="frozen"/>
      <selection pane="bottomRight" activeCell="B52" sqref="B52"/>
      <rowBreaks count="2" manualBreakCount="2">
        <brk id="29" max="16383" man="1"/>
        <brk id="63" max="16383" man="1"/>
      </rowBreaks>
      <pageMargins left="0.62992125984251968" right="0.15748031496062992" top="0.59055118110236227" bottom="0.55118110236220474" header="0.15748031496062992" footer="0.15748031496062992"/>
      <pageSetup paperSize="9" fitToHeight="0" orientation="portrait" r:id="rId1"/>
      <headerFooter alignWithMargins="0"/>
    </customSheetView>
    <customSheetView guid="{34D410AD-58B4-4435-9ED5-15CA72283006}" showPageBreaks="1" printArea="1" hiddenRows="1" state="hidden" view="pageBreakPreview">
      <pane xSplit="1" ySplit="3" topLeftCell="B4" activePane="bottomRight" state="frozen"/>
      <selection pane="bottomRight" activeCell="B52" sqref="B52"/>
      <rowBreaks count="2" manualBreakCount="2">
        <brk id="29" max="16383" man="1"/>
        <brk id="63" max="16383" man="1"/>
      </rowBreaks>
      <pageMargins left="0.62992125984251968" right="0.15748031496062992" top="0.59055118110236227" bottom="0.55118110236220474" header="0.15748031496062992" footer="0.15748031496062992"/>
      <pageSetup paperSize="9" fitToHeight="0" orientation="portrait" r:id="rId2"/>
      <headerFooter alignWithMargins="0"/>
    </customSheetView>
    <customSheetView guid="{0E91F95C-B82B-4A7A-9432-6E8B0967BE54}" showPageBreaks="1" printArea="1" hiddenRows="1" state="hidden" view="pageBreakPreview">
      <pane xSplit="1" ySplit="3" topLeftCell="B4" activePane="bottomRight" state="frozen"/>
      <selection pane="bottomRight" activeCell="B52" sqref="B52"/>
      <rowBreaks count="2" manualBreakCount="2">
        <brk id="29" max="16383" man="1"/>
        <brk id="63" max="16383" man="1"/>
      </rowBreaks>
      <pageMargins left="0.62992125984251968" right="0.15748031496062992" top="0.59055118110236227" bottom="0.55118110236220474" header="0.15748031496062992" footer="0.15748031496062992"/>
      <pageSetup paperSize="9" fitToHeight="0" orientation="portrait" r:id="rId3"/>
      <headerFooter alignWithMargins="0"/>
    </customSheetView>
  </customSheetViews>
  <mergeCells count="1">
    <mergeCell ref="A1:C1"/>
  </mergeCells>
  <pageMargins left="0.62992125984251968" right="0.15748031496062992" top="0.59055118110236227" bottom="0.55118110236220474" header="0.15748031496062992" footer="0.15748031496062992"/>
  <pageSetup paperSize="9" fitToHeight="0" orientation="portrait" r:id="rId4"/>
  <headerFooter alignWithMargins="0"/>
  <rowBreaks count="2" manualBreakCount="2">
    <brk id="29" max="16383" man="1"/>
    <brk id="6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view="pageBreakPreview" zoomScaleSheetLayoutView="100" workbookViewId="0">
      <pane xSplit="1" ySplit="3" topLeftCell="B23" activePane="bottomRight" state="frozen"/>
      <selection pane="topRight" activeCell="B1" sqref="B1"/>
      <selection pane="bottomLeft" activeCell="A4" sqref="A4"/>
      <selection pane="bottomRight" activeCell="A25" sqref="A25"/>
    </sheetView>
  </sheetViews>
  <sheetFormatPr defaultColWidth="9.140625" defaultRowHeight="15.75" x14ac:dyDescent="0.25"/>
  <cols>
    <col min="1" max="1" width="64.42578125" style="31" customWidth="1"/>
    <col min="2" max="3" width="17.5703125" style="14" customWidth="1"/>
    <col min="4" max="4" width="14.140625" style="14" customWidth="1"/>
    <col min="5" max="5" width="13.85546875" style="3" bestFit="1" customWidth="1"/>
    <col min="6" max="6" width="14.140625" style="3" bestFit="1" customWidth="1"/>
    <col min="7" max="7" width="24.7109375" style="3" customWidth="1"/>
    <col min="8" max="8" width="10.140625" style="3" customWidth="1"/>
    <col min="9" max="16384" width="9.140625" style="3"/>
  </cols>
  <sheetData>
    <row r="1" spans="1:13" s="1" customFormat="1" ht="36" customHeight="1" x14ac:dyDescent="0.25">
      <c r="A1" s="151" t="s">
        <v>82</v>
      </c>
      <c r="B1" s="151"/>
      <c r="C1" s="151"/>
      <c r="D1" s="151"/>
    </row>
    <row r="2" spans="1:13" ht="13.5" customHeight="1" x14ac:dyDescent="0.25">
      <c r="A2" s="2"/>
      <c r="B2" s="33"/>
      <c r="C2" s="33"/>
      <c r="D2" s="33" t="s">
        <v>48</v>
      </c>
    </row>
    <row r="3" spans="1:13" s="6" customFormat="1" ht="48.75" customHeight="1" x14ac:dyDescent="0.2">
      <c r="A3" s="4" t="s">
        <v>0</v>
      </c>
      <c r="B3" s="34" t="s">
        <v>84</v>
      </c>
      <c r="C3" s="34" t="s">
        <v>85</v>
      </c>
      <c r="D3" s="34" t="s">
        <v>67</v>
      </c>
      <c r="E3" s="5"/>
    </row>
    <row r="4" spans="1:13" s="11" customFormat="1" x14ac:dyDescent="0.2">
      <c r="A4" s="7" t="s">
        <v>39</v>
      </c>
      <c r="B4" s="8"/>
      <c r="C4" s="8"/>
      <c r="D4" s="8"/>
      <c r="E4" s="9"/>
      <c r="F4" s="10"/>
    </row>
    <row r="5" spans="1:13" s="15" customFormat="1" x14ac:dyDescent="0.25">
      <c r="A5" s="7" t="s">
        <v>1</v>
      </c>
      <c r="B5" s="40">
        <f>B6+B9+B14+B17+B21+B24+B26+B27+B28+B30+B31+B32+B25+B29</f>
        <v>17041649.600000001</v>
      </c>
      <c r="C5" s="40">
        <f>C6+C9+C14+C17+C21+C24+C26+C27+C28+C30+C31+C32+C25+C29</f>
        <v>17212348.5</v>
      </c>
      <c r="D5" s="40">
        <f>D6+D9+D14+D17+D21+D24+D26+D27+D28+D30+D31+D32+D25+D29</f>
        <v>23525213.100000001</v>
      </c>
      <c r="E5" s="37">
        <f>D5-B5</f>
        <v>6483564</v>
      </c>
      <c r="F5" s="12">
        <v>23538035.699999999</v>
      </c>
      <c r="G5" s="40">
        <f>G6+G9+G14+G17+G21+G24+G26+G27+G28+G30+G31</f>
        <v>17159849631.700001</v>
      </c>
      <c r="H5" s="14"/>
      <c r="I5" s="14"/>
      <c r="J5" s="14"/>
      <c r="K5" s="14"/>
      <c r="L5" s="14"/>
      <c r="M5" s="14"/>
    </row>
    <row r="6" spans="1:13" x14ac:dyDescent="0.25">
      <c r="A6" s="16" t="s">
        <v>2</v>
      </c>
      <c r="B6" s="41">
        <f>B7+B8</f>
        <v>10633392.300000001</v>
      </c>
      <c r="C6" s="41">
        <f>C7+C8</f>
        <v>10633392.300000001</v>
      </c>
      <c r="D6" s="41">
        <f>D7+D8</f>
        <v>14358900</v>
      </c>
      <c r="E6" s="37">
        <f t="shared" ref="E6:E65" si="0">D6-B6</f>
        <v>3725508</v>
      </c>
      <c r="F6" s="17">
        <v>14358900</v>
      </c>
      <c r="G6" s="41">
        <f>G7+G8</f>
        <v>10633392291.799999</v>
      </c>
    </row>
    <row r="7" spans="1:13" s="54" customFormat="1" x14ac:dyDescent="0.25">
      <c r="A7" s="55" t="s">
        <v>3</v>
      </c>
      <c r="B7" s="45">
        <f>'по отчету'!B7/1000</f>
        <v>5274494</v>
      </c>
      <c r="C7" s="45">
        <f>'по отчету'!B7/1000</f>
        <v>5274494</v>
      </c>
      <c r="D7" s="45">
        <v>5913100</v>
      </c>
      <c r="E7" s="51">
        <f t="shared" si="0"/>
        <v>638606</v>
      </c>
      <c r="F7" s="52">
        <v>5913100</v>
      </c>
      <c r="G7" s="53">
        <v>5274494026.8199997</v>
      </c>
    </row>
    <row r="8" spans="1:13" x14ac:dyDescent="0.25">
      <c r="A8" s="18" t="s">
        <v>4</v>
      </c>
      <c r="B8" s="41">
        <f>'по отчету'!B8/1000</f>
        <v>5358898.3</v>
      </c>
      <c r="C8" s="41">
        <f>'по отчету'!B8/1000</f>
        <v>5358898.3</v>
      </c>
      <c r="D8" s="41">
        <v>8445800</v>
      </c>
      <c r="E8" s="37">
        <f t="shared" si="0"/>
        <v>3086902</v>
      </c>
      <c r="F8" s="19">
        <v>8445800</v>
      </c>
      <c r="G8" s="48">
        <v>5358898264.96</v>
      </c>
    </row>
    <row r="9" spans="1:13" ht="34.5" customHeight="1" x14ac:dyDescent="0.25">
      <c r="A9" s="16" t="s">
        <v>5</v>
      </c>
      <c r="B9" s="41">
        <f>B10</f>
        <v>1525723.4</v>
      </c>
      <c r="C9" s="41">
        <f>C10</f>
        <v>1696422.3</v>
      </c>
      <c r="D9" s="41">
        <f>D10</f>
        <v>2290166</v>
      </c>
      <c r="E9" s="37">
        <f t="shared" si="0"/>
        <v>764443</v>
      </c>
      <c r="F9" s="19">
        <v>2290166</v>
      </c>
      <c r="G9" s="41">
        <f>G10</f>
        <v>1685422278</v>
      </c>
    </row>
    <row r="10" spans="1:13" x14ac:dyDescent="0.25">
      <c r="A10" s="18" t="s">
        <v>6</v>
      </c>
      <c r="B10" s="41">
        <f>B11+B12</f>
        <v>1525723.4</v>
      </c>
      <c r="C10" s="41">
        <f>C11+C12</f>
        <v>1696422.3</v>
      </c>
      <c r="D10" s="41">
        <f>D11+D12</f>
        <v>2290166</v>
      </c>
      <c r="E10" s="37">
        <f t="shared" si="0"/>
        <v>764443</v>
      </c>
      <c r="F10" s="19">
        <v>2290166</v>
      </c>
      <c r="G10" s="41">
        <f>G11+G12</f>
        <v>1685422278</v>
      </c>
    </row>
    <row r="11" spans="1:13" x14ac:dyDescent="0.25">
      <c r="A11" s="18" t="s">
        <v>43</v>
      </c>
      <c r="B11" s="41">
        <v>265209.09999999998</v>
      </c>
      <c r="C11" s="41">
        <f>'по отчету'!B11/1000+11000</f>
        <v>435908</v>
      </c>
      <c r="D11" s="19">
        <v>442408</v>
      </c>
      <c r="E11" s="37">
        <f t="shared" si="0"/>
        <v>177199</v>
      </c>
      <c r="F11" s="19">
        <v>442408</v>
      </c>
      <c r="G11" s="47">
        <v>424908000</v>
      </c>
    </row>
    <row r="12" spans="1:13" ht="32.25" customHeight="1" x14ac:dyDescent="0.25">
      <c r="A12" s="18" t="s">
        <v>71</v>
      </c>
      <c r="B12" s="41">
        <f>'по отчету'!B12/1000</f>
        <v>1260514.3</v>
      </c>
      <c r="C12" s="41">
        <f>'по отчету'!B12/1000</f>
        <v>1260514.3</v>
      </c>
      <c r="D12" s="19">
        <v>1847758</v>
      </c>
      <c r="E12" s="37">
        <f t="shared" si="0"/>
        <v>587244</v>
      </c>
      <c r="F12" s="19">
        <v>1847758</v>
      </c>
      <c r="G12" s="41">
        <v>1260514278</v>
      </c>
    </row>
    <row r="13" spans="1:13" ht="31.5" hidden="1" x14ac:dyDescent="0.25">
      <c r="A13" s="18" t="s">
        <v>68</v>
      </c>
      <c r="B13" s="41">
        <f>'по отчету'!B13/1000</f>
        <v>0</v>
      </c>
      <c r="C13" s="41">
        <f>'по отчету'!B13/1000</f>
        <v>0</v>
      </c>
      <c r="D13" s="41">
        <f>'по отчету'!C13/1000</f>
        <v>-0.4</v>
      </c>
      <c r="E13" s="37">
        <f t="shared" si="0"/>
        <v>0</v>
      </c>
      <c r="F13" s="19"/>
      <c r="G13" s="42"/>
    </row>
    <row r="14" spans="1:13" x14ac:dyDescent="0.25">
      <c r="A14" s="16" t="s">
        <v>7</v>
      </c>
      <c r="B14" s="41">
        <f>'по отчету'!B14/1000</f>
        <v>1237257.3</v>
      </c>
      <c r="C14" s="41">
        <f>'по отчету'!B14/1000</f>
        <v>1237257.3</v>
      </c>
      <c r="D14" s="41">
        <f>'по отчету'!C14/1000</f>
        <v>1496800</v>
      </c>
      <c r="E14" s="37">
        <f t="shared" si="0"/>
        <v>259543</v>
      </c>
      <c r="F14" s="19">
        <v>1592858</v>
      </c>
      <c r="G14" s="41">
        <f>G15</f>
        <v>1237257339.5</v>
      </c>
    </row>
    <row r="15" spans="1:13" ht="31.5" x14ac:dyDescent="0.25">
      <c r="A15" s="18" t="s">
        <v>36</v>
      </c>
      <c r="B15" s="41">
        <f>'по отчету'!B15/1000</f>
        <v>1237257.3</v>
      </c>
      <c r="C15" s="41">
        <f>'по отчету'!B15/1000</f>
        <v>1237257.3</v>
      </c>
      <c r="D15" s="19">
        <v>1592858</v>
      </c>
      <c r="E15" s="37">
        <f t="shared" si="0"/>
        <v>355601</v>
      </c>
      <c r="F15" s="19">
        <v>1592858</v>
      </c>
      <c r="G15" s="48">
        <v>1237257339.54</v>
      </c>
    </row>
    <row r="16" spans="1:13" hidden="1" x14ac:dyDescent="0.25">
      <c r="A16" s="18" t="s">
        <v>8</v>
      </c>
      <c r="B16" s="41">
        <f>'по отчету'!B16/1000</f>
        <v>0</v>
      </c>
      <c r="C16" s="41">
        <f>'по отчету'!B16/1000</f>
        <v>0</v>
      </c>
      <c r="D16" s="41">
        <f>'по отчету'!C16/1000</f>
        <v>0</v>
      </c>
      <c r="E16" s="37">
        <f t="shared" si="0"/>
        <v>0</v>
      </c>
      <c r="F16" s="19">
        <v>0</v>
      </c>
      <c r="G16" s="41">
        <v>0</v>
      </c>
    </row>
    <row r="17" spans="1:7" x14ac:dyDescent="0.25">
      <c r="A17" s="16" t="s">
        <v>9</v>
      </c>
      <c r="B17" s="41">
        <f>B18+B19+B20</f>
        <v>2050508</v>
      </c>
      <c r="C17" s="41">
        <f>C18+C19+C20</f>
        <v>2050508</v>
      </c>
      <c r="D17" s="41">
        <f>D18+D19+D20</f>
        <v>3040130</v>
      </c>
      <c r="E17" s="37">
        <f t="shared" si="0"/>
        <v>989622</v>
      </c>
      <c r="F17" s="19">
        <v>3040130</v>
      </c>
      <c r="G17" s="41">
        <f>G18+G19+G20</f>
        <v>2050507984.9000001</v>
      </c>
    </row>
    <row r="18" spans="1:7" x14ac:dyDescent="0.25">
      <c r="A18" s="18" t="s">
        <v>10</v>
      </c>
      <c r="B18" s="41">
        <f>'по отчету'!B18/1000</f>
        <v>1738248.3</v>
      </c>
      <c r="C18" s="41">
        <f>'по отчету'!B18/1000</f>
        <v>1738248.3</v>
      </c>
      <c r="D18" s="19">
        <v>2330130</v>
      </c>
      <c r="E18" s="37">
        <f t="shared" si="0"/>
        <v>591882</v>
      </c>
      <c r="F18" s="19">
        <v>2330130</v>
      </c>
      <c r="G18" s="48">
        <v>1738248288.1900001</v>
      </c>
    </row>
    <row r="19" spans="1:7" x14ac:dyDescent="0.25">
      <c r="A19" s="18" t="s">
        <v>11</v>
      </c>
      <c r="B19" s="41">
        <f>'по отчету'!B19/1000</f>
        <v>311374.7</v>
      </c>
      <c r="C19" s="41">
        <f>'по отчету'!B19/1000</f>
        <v>311374.7</v>
      </c>
      <c r="D19" s="19">
        <v>708500</v>
      </c>
      <c r="E19" s="37">
        <f t="shared" si="0"/>
        <v>397125</v>
      </c>
      <c r="F19" s="19">
        <v>708500</v>
      </c>
      <c r="G19" s="48">
        <v>311374687.06</v>
      </c>
    </row>
    <row r="20" spans="1:7" x14ac:dyDescent="0.25">
      <c r="A20" s="18" t="s">
        <v>12</v>
      </c>
      <c r="B20" s="41">
        <f>'по отчету'!B20/1000</f>
        <v>885</v>
      </c>
      <c r="C20" s="41">
        <f>'по отчету'!B20/1000</f>
        <v>885</v>
      </c>
      <c r="D20" s="19">
        <v>1500</v>
      </c>
      <c r="E20" s="37">
        <f t="shared" si="0"/>
        <v>615</v>
      </c>
      <c r="F20" s="19">
        <v>1500</v>
      </c>
      <c r="G20" s="48">
        <v>885009.67</v>
      </c>
    </row>
    <row r="21" spans="1:7" ht="31.5" x14ac:dyDescent="0.25">
      <c r="A21" s="16" t="s">
        <v>13</v>
      </c>
      <c r="B21" s="41">
        <f>B22+B23</f>
        <v>425079.6</v>
      </c>
      <c r="C21" s="41">
        <f>C22+C23</f>
        <v>425079.6</v>
      </c>
      <c r="D21" s="41">
        <f>D22+D23</f>
        <v>634456</v>
      </c>
      <c r="E21" s="37">
        <f t="shared" si="0"/>
        <v>209376</v>
      </c>
      <c r="F21" s="19">
        <v>634456</v>
      </c>
      <c r="G21" s="41">
        <f>G22+G23</f>
        <v>425079643.30000001</v>
      </c>
    </row>
    <row r="22" spans="1:7" x14ac:dyDescent="0.25">
      <c r="A22" s="18" t="s">
        <v>14</v>
      </c>
      <c r="B22" s="41">
        <f>'по отчету'!B22/1000</f>
        <v>402131.1</v>
      </c>
      <c r="C22" s="41">
        <f>'по отчету'!B22/1000</f>
        <v>402131.1</v>
      </c>
      <c r="D22" s="19">
        <v>589536</v>
      </c>
      <c r="E22" s="37">
        <f t="shared" si="0"/>
        <v>187405</v>
      </c>
      <c r="F22" s="19">
        <v>589536</v>
      </c>
      <c r="G22" s="48">
        <v>402131093.74000001</v>
      </c>
    </row>
    <row r="23" spans="1:7" ht="31.5" x14ac:dyDescent="0.25">
      <c r="A23" s="18" t="s">
        <v>15</v>
      </c>
      <c r="B23" s="41">
        <f>'по отчету'!B23/1000</f>
        <v>22948.5</v>
      </c>
      <c r="C23" s="41">
        <f>'по отчету'!B23/1000</f>
        <v>22948.5</v>
      </c>
      <c r="D23" s="19">
        <v>44920</v>
      </c>
      <c r="E23" s="37">
        <f t="shared" si="0"/>
        <v>21972</v>
      </c>
      <c r="F23" s="19">
        <v>44920</v>
      </c>
      <c r="G23" s="48">
        <v>22948549.510000002</v>
      </c>
    </row>
    <row r="24" spans="1:7" s="15" customFormat="1" x14ac:dyDescent="0.25">
      <c r="A24" s="20" t="s">
        <v>79</v>
      </c>
      <c r="B24" s="41">
        <f>'по отчету'!B24/1000</f>
        <v>74958.8</v>
      </c>
      <c r="C24" s="41">
        <f>'по отчету'!B24/1000</f>
        <v>74958.8</v>
      </c>
      <c r="D24" s="19">
        <v>122100</v>
      </c>
      <c r="E24" s="37">
        <f t="shared" si="0"/>
        <v>47141</v>
      </c>
      <c r="F24" s="19">
        <v>122100</v>
      </c>
      <c r="G24" s="48">
        <v>74958832.670000002</v>
      </c>
    </row>
    <row r="25" spans="1:7" s="54" customFormat="1" ht="47.25" x14ac:dyDescent="0.25">
      <c r="A25" s="50" t="s">
        <v>16</v>
      </c>
      <c r="B25" s="45">
        <f>'по отчету'!B25/1000</f>
        <v>8.8000000000000007</v>
      </c>
      <c r="C25" s="45">
        <f>'по отчету'!B25/1000</f>
        <v>8.8000000000000007</v>
      </c>
      <c r="D25" s="45">
        <f>'по отчету'!C25/1000</f>
        <v>0</v>
      </c>
      <c r="E25" s="51">
        <f t="shared" si="0"/>
        <v>-9</v>
      </c>
      <c r="F25" s="52"/>
      <c r="G25" s="53">
        <v>8817.0300000000007</v>
      </c>
    </row>
    <row r="26" spans="1:7" ht="47.25" x14ac:dyDescent="0.25">
      <c r="A26" s="16" t="s">
        <v>17</v>
      </c>
      <c r="B26" s="41">
        <f>'по отчету'!B26/1000</f>
        <v>99504.6</v>
      </c>
      <c r="C26" s="41">
        <f>'по отчету'!B26/1000</f>
        <v>99504.6</v>
      </c>
      <c r="D26" s="19">
        <v>212161</v>
      </c>
      <c r="E26" s="37">
        <f t="shared" si="0"/>
        <v>112656</v>
      </c>
      <c r="F26" s="19">
        <v>212161</v>
      </c>
      <c r="G26" s="48">
        <v>99504598.099999994</v>
      </c>
    </row>
    <row r="27" spans="1:7" ht="18" customHeight="1" x14ac:dyDescent="0.25">
      <c r="A27" s="16" t="s">
        <v>18</v>
      </c>
      <c r="B27" s="41">
        <f>'по отчету'!B27/1000</f>
        <v>671221</v>
      </c>
      <c r="C27" s="41">
        <f>'по отчету'!B27/1000</f>
        <v>671221</v>
      </c>
      <c r="D27" s="19">
        <v>841598</v>
      </c>
      <c r="E27" s="37">
        <f t="shared" si="0"/>
        <v>170377</v>
      </c>
      <c r="F27" s="19">
        <v>841598</v>
      </c>
      <c r="G27" s="48">
        <v>671221039.50999999</v>
      </c>
    </row>
    <row r="28" spans="1:7" s="54" customFormat="1" ht="31.5" x14ac:dyDescent="0.25">
      <c r="A28" s="50" t="s">
        <v>76</v>
      </c>
      <c r="B28" s="45"/>
      <c r="C28" s="45">
        <f>'по отчету'!B28/1000</f>
        <v>136711.4</v>
      </c>
      <c r="D28" s="45">
        <f>'по отчету'!C28/1000</f>
        <v>83235.399999999994</v>
      </c>
      <c r="E28" s="51">
        <f t="shared" si="0"/>
        <v>83235</v>
      </c>
      <c r="F28" s="152">
        <v>200466.7</v>
      </c>
      <c r="G28" s="53">
        <v>136711379.81999999</v>
      </c>
    </row>
    <row r="29" spans="1:7" s="15" customFormat="1" ht="63" x14ac:dyDescent="0.25">
      <c r="A29" s="20" t="s">
        <v>80</v>
      </c>
      <c r="B29" s="41">
        <f>'по отчету'!B29/1000+136711.4</f>
        <v>158242.79999999999</v>
      </c>
      <c r="C29" s="41">
        <f>'по отчету'!B29/1000</f>
        <v>21531.4</v>
      </c>
      <c r="D29" s="41">
        <v>200466.7</v>
      </c>
      <c r="E29" s="37">
        <f t="shared" si="0"/>
        <v>42224</v>
      </c>
      <c r="F29" s="152"/>
      <c r="G29" s="48">
        <v>21531431.489999998</v>
      </c>
    </row>
    <row r="30" spans="1:7" x14ac:dyDescent="0.25">
      <c r="A30" s="16" t="s">
        <v>19</v>
      </c>
      <c r="B30" s="41">
        <f>'по отчету'!B30/1000</f>
        <v>585</v>
      </c>
      <c r="C30" s="41">
        <f>'по отчету'!B30/1000</f>
        <v>585</v>
      </c>
      <c r="D30" s="41">
        <f>'по отчету'!C30/1000</f>
        <v>1200</v>
      </c>
      <c r="E30" s="37">
        <f t="shared" si="0"/>
        <v>615</v>
      </c>
      <c r="F30" s="19">
        <v>1200</v>
      </c>
      <c r="G30" s="48">
        <v>584990</v>
      </c>
    </row>
    <row r="31" spans="1:7" x14ac:dyDescent="0.25">
      <c r="A31" s="16" t="s">
        <v>20</v>
      </c>
      <c r="B31" s="41">
        <f>'по отчету'!B31/1000</f>
        <v>145209.29999999999</v>
      </c>
      <c r="C31" s="41">
        <f>'по отчету'!B31/1000</f>
        <v>145209.29999999999</v>
      </c>
      <c r="D31" s="41">
        <f>'по отчету'!C31/1000</f>
        <v>244000</v>
      </c>
      <c r="E31" s="37">
        <f t="shared" si="0"/>
        <v>98791</v>
      </c>
      <c r="F31" s="152">
        <v>244000</v>
      </c>
      <c r="G31" s="48">
        <v>145209254.12</v>
      </c>
    </row>
    <row r="32" spans="1:7" s="54" customFormat="1" x14ac:dyDescent="0.25">
      <c r="A32" s="50" t="s">
        <v>77</v>
      </c>
      <c r="B32" s="45">
        <f>'по отчету'!B32/1000</f>
        <v>19958.7</v>
      </c>
      <c r="C32" s="45">
        <f>'по отчету'!B32/1000</f>
        <v>19958.7</v>
      </c>
      <c r="D32" s="45">
        <f>'по отчету'!C32/1000</f>
        <v>0</v>
      </c>
      <c r="E32" s="51">
        <f t="shared" si="0"/>
        <v>-19959</v>
      </c>
      <c r="F32" s="152"/>
      <c r="G32" s="53">
        <v>19958670.800000001</v>
      </c>
    </row>
    <row r="33" spans="1:13" s="23" customFormat="1" x14ac:dyDescent="0.25">
      <c r="A33" s="7" t="s">
        <v>22</v>
      </c>
      <c r="B33" s="40">
        <f>B34+B43+B46+B47</f>
        <v>11749112.6</v>
      </c>
      <c r="C33" s="40">
        <f>C34+C43+C46+C47</f>
        <v>11749112.699999999</v>
      </c>
      <c r="D33" s="40">
        <f>D34+D43+D46+D47</f>
        <v>20883916.899999999</v>
      </c>
      <c r="E33" s="37">
        <f t="shared" si="0"/>
        <v>9134804</v>
      </c>
      <c r="F33" s="12"/>
      <c r="G33" s="40">
        <f>G34+G43+G46+G47</f>
        <v>11749112567.799999</v>
      </c>
      <c r="H33" s="22"/>
      <c r="I33" s="22"/>
      <c r="J33" s="22"/>
      <c r="K33" s="22"/>
      <c r="L33" s="22"/>
      <c r="M33" s="22"/>
    </row>
    <row r="34" spans="1:13" ht="33" customHeight="1" x14ac:dyDescent="0.25">
      <c r="A34" s="16" t="s">
        <v>37</v>
      </c>
      <c r="B34" s="41">
        <f>B35+B39+B40+B41</f>
        <v>11188536.1</v>
      </c>
      <c r="C34" s="41">
        <f>C35+C39+C40+C41</f>
        <v>11188536.199999999</v>
      </c>
      <c r="D34" s="41">
        <f>D35+D39+D40+D41</f>
        <v>20089875.100000001</v>
      </c>
      <c r="E34" s="37">
        <f t="shared" si="0"/>
        <v>8901339</v>
      </c>
      <c r="F34" s="13"/>
      <c r="G34" s="41">
        <f>G35+G39+G40+G41</f>
        <v>11188536145.299999</v>
      </c>
      <c r="H34" s="24"/>
      <c r="I34" s="24"/>
    </row>
    <row r="35" spans="1:13" ht="31.5" x14ac:dyDescent="0.25">
      <c r="A35" s="16" t="s">
        <v>23</v>
      </c>
      <c r="B35" s="41">
        <f>B36+B37+B38</f>
        <v>8982151</v>
      </c>
      <c r="C35" s="41">
        <f>C36+C37+C38</f>
        <v>8982151</v>
      </c>
      <c r="D35" s="41">
        <f>D36+D37+D38</f>
        <v>13084604.4</v>
      </c>
      <c r="E35" s="37">
        <f t="shared" si="0"/>
        <v>4102453</v>
      </c>
      <c r="F35" s="19"/>
      <c r="G35" s="41">
        <f>G36+G37+G38</f>
        <v>8982151000</v>
      </c>
    </row>
    <row r="36" spans="1:13" x14ac:dyDescent="0.25">
      <c r="A36" s="18" t="s">
        <v>69</v>
      </c>
      <c r="B36" s="41">
        <f>'по отчету'!B36/1000</f>
        <v>5695028</v>
      </c>
      <c r="C36" s="41">
        <f>'по отчету'!B36/1000</f>
        <v>5695028</v>
      </c>
      <c r="D36" s="41">
        <f>'по отчету'!C36/1000</f>
        <v>8542541.4000000004</v>
      </c>
      <c r="E36" s="37">
        <f t="shared" si="0"/>
        <v>2847513</v>
      </c>
      <c r="F36" s="19"/>
      <c r="G36" s="48">
        <v>5695028000</v>
      </c>
    </row>
    <row r="37" spans="1:13" ht="31.5" x14ac:dyDescent="0.25">
      <c r="A37" s="18" t="s">
        <v>70</v>
      </c>
      <c r="B37" s="41">
        <f>'по отчету'!B37/1000</f>
        <v>777235</v>
      </c>
      <c r="C37" s="41">
        <f>'по отчету'!B37/1000</f>
        <v>777235</v>
      </c>
      <c r="D37" s="41">
        <f>'по отчету'!C37/1000</f>
        <v>777235</v>
      </c>
      <c r="E37" s="37">
        <f t="shared" si="0"/>
        <v>0</v>
      </c>
      <c r="F37" s="19"/>
      <c r="G37" s="48">
        <v>777235000</v>
      </c>
    </row>
    <row r="38" spans="1:13" ht="47.25" x14ac:dyDescent="0.25">
      <c r="A38" s="18" t="s">
        <v>66</v>
      </c>
      <c r="B38" s="41">
        <f>'по отчету'!B38/1000</f>
        <v>2509888</v>
      </c>
      <c r="C38" s="41">
        <f>'по отчету'!B38/1000</f>
        <v>2509888</v>
      </c>
      <c r="D38" s="41">
        <f>'по отчету'!C38/1000</f>
        <v>3764828</v>
      </c>
      <c r="E38" s="37">
        <f t="shared" si="0"/>
        <v>1254940</v>
      </c>
      <c r="F38" s="19"/>
      <c r="G38" s="48">
        <v>2509888000</v>
      </c>
    </row>
    <row r="39" spans="1:13" ht="31.5" x14ac:dyDescent="0.25">
      <c r="A39" s="18" t="s">
        <v>24</v>
      </c>
      <c r="B39" s="41">
        <f>'по отчету'!B39/1000</f>
        <v>461549.8</v>
      </c>
      <c r="C39" s="41">
        <f>'по отчету'!B39/1000</f>
        <v>461549.8</v>
      </c>
      <c r="D39" s="41">
        <f>'по отчету'!C39/1000</f>
        <v>4228319.5</v>
      </c>
      <c r="E39" s="37">
        <f t="shared" si="0"/>
        <v>3766770</v>
      </c>
      <c r="F39" s="19"/>
      <c r="G39" s="48">
        <v>461549766.41000003</v>
      </c>
    </row>
    <row r="40" spans="1:13" ht="31.5" x14ac:dyDescent="0.25">
      <c r="A40" s="18" t="s">
        <v>25</v>
      </c>
      <c r="B40" s="41">
        <v>1547393.5</v>
      </c>
      <c r="C40" s="41">
        <f>'по отчету'!B40/1000</f>
        <v>1547393.6</v>
      </c>
      <c r="D40" s="41">
        <f>'по отчету'!C40/1000</f>
        <v>2326233.9</v>
      </c>
      <c r="E40" s="37">
        <f t="shared" si="0"/>
        <v>778840</v>
      </c>
      <c r="F40" s="19"/>
      <c r="G40" s="48">
        <v>1547393560.0699999</v>
      </c>
    </row>
    <row r="41" spans="1:13" x14ac:dyDescent="0.25">
      <c r="A41" s="18" t="s">
        <v>26</v>
      </c>
      <c r="B41" s="41">
        <f>'по отчету'!B41/1000</f>
        <v>197441.8</v>
      </c>
      <c r="C41" s="41">
        <f>'по отчету'!B41/1000</f>
        <v>197441.8</v>
      </c>
      <c r="D41" s="41">
        <f>'по отчету'!C41/1000</f>
        <v>450717.3</v>
      </c>
      <c r="E41" s="37">
        <f t="shared" si="0"/>
        <v>253276</v>
      </c>
      <c r="F41" s="19"/>
      <c r="G41" s="48">
        <v>197441818.78</v>
      </c>
    </row>
    <row r="42" spans="1:13" ht="16.5" customHeight="1" x14ac:dyDescent="0.25">
      <c r="A42" s="18" t="s">
        <v>27</v>
      </c>
      <c r="B42" s="41">
        <f>'по отчету'!B42/1000</f>
        <v>0</v>
      </c>
      <c r="C42" s="41">
        <f>'по отчету'!B42/1000</f>
        <v>0</v>
      </c>
      <c r="D42" s="41">
        <f>'по отчету'!C42/1000</f>
        <v>0</v>
      </c>
      <c r="E42" s="37">
        <f t="shared" si="0"/>
        <v>0</v>
      </c>
      <c r="F42" s="19"/>
      <c r="G42" s="41"/>
    </row>
    <row r="43" spans="1:13" ht="31.5" x14ac:dyDescent="0.25">
      <c r="A43" s="16" t="s">
        <v>28</v>
      </c>
      <c r="B43" s="41">
        <f>'по отчету'!B43/1000</f>
        <v>609781.1</v>
      </c>
      <c r="C43" s="41">
        <f>'по отчету'!B43/1000</f>
        <v>609781.1</v>
      </c>
      <c r="D43" s="41">
        <f>'по отчету'!C43/1000</f>
        <v>838819.7</v>
      </c>
      <c r="E43" s="37">
        <f t="shared" si="0"/>
        <v>229039</v>
      </c>
      <c r="F43" s="19"/>
      <c r="G43" s="48">
        <v>609781090.59000003</v>
      </c>
    </row>
    <row r="44" spans="1:13" ht="31.5" hidden="1" x14ac:dyDescent="0.25">
      <c r="A44" s="16" t="s">
        <v>38</v>
      </c>
      <c r="B44" s="41">
        <f>'по отчету'!B44/1000</f>
        <v>0</v>
      </c>
      <c r="C44" s="41">
        <f>'по отчету'!B44/1000</f>
        <v>0</v>
      </c>
      <c r="D44" s="41">
        <f>'по отчету'!C44/1000</f>
        <v>0</v>
      </c>
      <c r="E44" s="37">
        <f t="shared" si="0"/>
        <v>0</v>
      </c>
      <c r="F44" s="19"/>
      <c r="G44" s="41"/>
    </row>
    <row r="45" spans="1:13" hidden="1" x14ac:dyDescent="0.25">
      <c r="A45" s="16" t="s">
        <v>42</v>
      </c>
      <c r="B45" s="41">
        <f>'по отчету'!B45/1000</f>
        <v>0</v>
      </c>
      <c r="C45" s="41">
        <f>'по отчету'!B45/1000</f>
        <v>0</v>
      </c>
      <c r="D45" s="41">
        <f>'по отчету'!C45/1000</f>
        <v>0</v>
      </c>
      <c r="E45" s="37">
        <f t="shared" si="0"/>
        <v>0</v>
      </c>
      <c r="F45" s="19"/>
      <c r="G45" s="41"/>
    </row>
    <row r="46" spans="1:13" x14ac:dyDescent="0.25">
      <c r="A46" s="16" t="s">
        <v>72</v>
      </c>
      <c r="B46" s="41">
        <f>'по отчету'!B46/1000</f>
        <v>4285</v>
      </c>
      <c r="C46" s="41">
        <f>'по отчету'!B46/1000</f>
        <v>4285</v>
      </c>
      <c r="D46" s="41">
        <f>'по отчету'!C46/1000</f>
        <v>8139.2</v>
      </c>
      <c r="E46" s="37">
        <f t="shared" si="0"/>
        <v>3854</v>
      </c>
      <c r="F46" s="19"/>
      <c r="G46" s="48">
        <v>4284957.5599999996</v>
      </c>
    </row>
    <row r="47" spans="1:13" s="26" customFormat="1" ht="63" x14ac:dyDescent="0.25">
      <c r="A47" s="20" t="s">
        <v>73</v>
      </c>
      <c r="B47" s="41">
        <f>'по отчету'!B47/1000</f>
        <v>-53489.599999999999</v>
      </c>
      <c r="C47" s="41">
        <f>'по отчету'!B47/1000</f>
        <v>-53489.599999999999</v>
      </c>
      <c r="D47" s="41">
        <f>'по отчету'!C47/1000</f>
        <v>-52917.1</v>
      </c>
      <c r="E47" s="37">
        <f t="shared" si="0"/>
        <v>573</v>
      </c>
      <c r="F47" s="25"/>
      <c r="G47" s="48">
        <f>58733428.11-112223053.75</f>
        <v>-53489625.640000001</v>
      </c>
    </row>
    <row r="48" spans="1:13" s="26" customFormat="1" ht="31.5" hidden="1" x14ac:dyDescent="0.25">
      <c r="A48" s="20" t="s">
        <v>21</v>
      </c>
      <c r="B48" s="41"/>
      <c r="C48" s="41"/>
      <c r="D48" s="41"/>
      <c r="E48" s="37">
        <f t="shared" si="0"/>
        <v>0</v>
      </c>
      <c r="F48" s="25"/>
      <c r="G48" s="41"/>
    </row>
    <row r="49" spans="1:13" s="23" customFormat="1" x14ac:dyDescent="0.25">
      <c r="A49" s="7" t="s">
        <v>49</v>
      </c>
      <c r="B49" s="43">
        <f>B5+B33</f>
        <v>28790762.199999999</v>
      </c>
      <c r="C49" s="43">
        <f>C5+C33</f>
        <v>28961461.199999999</v>
      </c>
      <c r="D49" s="43">
        <f>D5+D33</f>
        <v>44409130</v>
      </c>
      <c r="E49" s="37">
        <f t="shared" si="0"/>
        <v>15618368</v>
      </c>
      <c r="F49" s="12"/>
      <c r="G49" s="43">
        <f>G5+G33</f>
        <v>28908962199.5</v>
      </c>
      <c r="H49" s="22"/>
      <c r="I49" s="22"/>
      <c r="J49" s="22"/>
      <c r="K49" s="22"/>
      <c r="L49" s="22"/>
      <c r="M49" s="22"/>
    </row>
    <row r="50" spans="1:13" s="23" customFormat="1" x14ac:dyDescent="0.25">
      <c r="A50" s="7" t="s">
        <v>40</v>
      </c>
      <c r="B50" s="44"/>
      <c r="C50" s="41"/>
      <c r="D50" s="41"/>
      <c r="E50" s="37">
        <f t="shared" si="0"/>
        <v>0</v>
      </c>
      <c r="F50" s="25"/>
      <c r="G50" s="44"/>
    </row>
    <row r="51" spans="1:13" x14ac:dyDescent="0.25">
      <c r="A51" s="20" t="s">
        <v>50</v>
      </c>
      <c r="B51" s="41">
        <f>'по отчету'!B51/1000</f>
        <v>896995.1</v>
      </c>
      <c r="C51" s="41">
        <v>1825307.5</v>
      </c>
      <c r="D51" s="41">
        <v>1825307.5</v>
      </c>
      <c r="E51" s="37">
        <f t="shared" si="0"/>
        <v>928312</v>
      </c>
      <c r="F51" s="49">
        <v>1870085414.77</v>
      </c>
      <c r="G51" s="49">
        <v>896995128.30999994</v>
      </c>
      <c r="H51" s="49">
        <v>896995128.30999994</v>
      </c>
      <c r="I51" s="24"/>
      <c r="J51" s="24"/>
      <c r="K51" s="24"/>
      <c r="L51" s="24"/>
    </row>
    <row r="52" spans="1:13" x14ac:dyDescent="0.25">
      <c r="A52" s="20" t="s">
        <v>51</v>
      </c>
      <c r="B52" s="41">
        <f>'по отчету'!B52/1000</f>
        <v>9470</v>
      </c>
      <c r="C52" s="41">
        <f>'по отчету'!B52/1000</f>
        <v>9470</v>
      </c>
      <c r="D52" s="41">
        <f>'по отчету'!C52/1000</f>
        <v>18815.5</v>
      </c>
      <c r="E52" s="37">
        <f t="shared" si="0"/>
        <v>9346</v>
      </c>
      <c r="F52" s="49">
        <v>8410562.9399999995</v>
      </c>
      <c r="G52" s="49">
        <v>9470017.6099999994</v>
      </c>
      <c r="H52" s="49">
        <v>9470017.6099999994</v>
      </c>
      <c r="I52" s="24"/>
      <c r="J52" s="24"/>
      <c r="K52" s="24"/>
      <c r="L52" s="24"/>
    </row>
    <row r="53" spans="1:13" ht="17.25" customHeight="1" x14ac:dyDescent="0.25">
      <c r="A53" s="20" t="s">
        <v>52</v>
      </c>
      <c r="B53" s="41">
        <f>'по отчету'!B53/1000</f>
        <v>461296.7</v>
      </c>
      <c r="C53" s="41">
        <f>'по отчету'!B53/1000</f>
        <v>461296.7</v>
      </c>
      <c r="D53" s="41">
        <f>'по отчету'!C53/1000</f>
        <v>790785.3</v>
      </c>
      <c r="E53" s="37">
        <f t="shared" si="0"/>
        <v>329489</v>
      </c>
      <c r="F53" s="49">
        <v>475040164.93000001</v>
      </c>
      <c r="G53" s="49">
        <v>461296688.99000001</v>
      </c>
      <c r="H53" s="49">
        <v>461296688.99000001</v>
      </c>
      <c r="I53" s="24"/>
      <c r="J53" s="24"/>
      <c r="K53" s="24"/>
      <c r="L53" s="24"/>
    </row>
    <row r="54" spans="1:13" x14ac:dyDescent="0.25">
      <c r="A54" s="20" t="s">
        <v>53</v>
      </c>
      <c r="B54" s="41">
        <f>'по отчету'!B54/1000</f>
        <v>2708222.5</v>
      </c>
      <c r="C54" s="41">
        <f>'по отчету'!B54/1000</f>
        <v>2708222.5</v>
      </c>
      <c r="D54" s="41">
        <f>'по отчету'!C54/1000</f>
        <v>6711239.7000000002</v>
      </c>
      <c r="E54" s="37">
        <f t="shared" si="0"/>
        <v>4003017</v>
      </c>
      <c r="F54" s="49">
        <v>3313458233.4000001</v>
      </c>
      <c r="G54" s="49">
        <v>2708222484.3800001</v>
      </c>
      <c r="H54" s="49">
        <v>2708222484.3800001</v>
      </c>
      <c r="I54" s="24"/>
      <c r="J54" s="24"/>
      <c r="K54" s="24"/>
      <c r="L54" s="24"/>
    </row>
    <row r="55" spans="1:13" x14ac:dyDescent="0.25">
      <c r="A55" s="20" t="s">
        <v>54</v>
      </c>
      <c r="B55" s="41">
        <f>'по отчету'!B55/1000</f>
        <v>1242387</v>
      </c>
      <c r="C55" s="41">
        <f>'по отчету'!B55/1000</f>
        <v>1242387</v>
      </c>
      <c r="D55" s="41">
        <f>'по отчету'!C55/1000</f>
        <v>3850202.8</v>
      </c>
      <c r="E55" s="37">
        <f t="shared" si="0"/>
        <v>2607816</v>
      </c>
      <c r="F55" s="49">
        <v>1718858129.73</v>
      </c>
      <c r="G55" s="49">
        <v>1242386966.45</v>
      </c>
      <c r="H55" s="49">
        <v>1242386966.45</v>
      </c>
      <c r="I55" s="24"/>
      <c r="J55" s="24"/>
      <c r="K55" s="24"/>
      <c r="L55" s="24"/>
    </row>
    <row r="56" spans="1:13" x14ac:dyDescent="0.25">
      <c r="A56" s="20" t="s">
        <v>55</v>
      </c>
      <c r="B56" s="41">
        <f>'по отчету'!B56/1000</f>
        <v>1137531</v>
      </c>
      <c r="C56" s="41">
        <f>'по отчету'!B56/1000</f>
        <v>1137531</v>
      </c>
      <c r="D56" s="41">
        <f>'по отчету'!C56/1000</f>
        <v>4366722.7</v>
      </c>
      <c r="E56" s="37">
        <f t="shared" si="0"/>
        <v>3229192</v>
      </c>
      <c r="F56" s="49">
        <v>1453753388.0699999</v>
      </c>
      <c r="G56" s="49">
        <v>1137530966.46</v>
      </c>
      <c r="H56" s="49">
        <v>1137530966.46</v>
      </c>
      <c r="I56" s="24"/>
      <c r="J56" s="24"/>
      <c r="K56" s="24"/>
      <c r="L56" s="24"/>
    </row>
    <row r="57" spans="1:13" x14ac:dyDescent="0.25">
      <c r="A57" s="20" t="s">
        <v>56</v>
      </c>
      <c r="B57" s="41">
        <f>'по отчету'!B57/1000</f>
        <v>6372.3</v>
      </c>
      <c r="C57" s="41">
        <f>'по отчету'!B57/1000</f>
        <v>6372.3</v>
      </c>
      <c r="D57" s="41">
        <f>'по отчету'!C57/1000</f>
        <v>14900.5</v>
      </c>
      <c r="E57" s="37">
        <f t="shared" si="0"/>
        <v>8528</v>
      </c>
      <c r="F57" s="49">
        <v>7314373.6900000004</v>
      </c>
      <c r="G57" s="49">
        <v>6372286.9299999997</v>
      </c>
      <c r="H57" s="49">
        <v>6372286.9299999997</v>
      </c>
      <c r="I57" s="24"/>
      <c r="J57" s="24"/>
      <c r="K57" s="24"/>
      <c r="L57" s="24"/>
    </row>
    <row r="58" spans="1:13" x14ac:dyDescent="0.25">
      <c r="A58" s="20" t="s">
        <v>57</v>
      </c>
      <c r="B58" s="41">
        <f>'по отчету'!B58/1000</f>
        <v>5254111.5</v>
      </c>
      <c r="C58" s="41">
        <f>'по отчету'!B58/1000</f>
        <v>5254111.5</v>
      </c>
      <c r="D58" s="41">
        <f>'по отчету'!C58/1000</f>
        <v>8214104</v>
      </c>
      <c r="E58" s="37">
        <f t="shared" si="0"/>
        <v>2959993</v>
      </c>
      <c r="F58" s="49">
        <v>7803677073.0699997</v>
      </c>
      <c r="G58" s="49">
        <v>5254111462.0799999</v>
      </c>
      <c r="H58" s="49">
        <v>5254111462.0799999</v>
      </c>
      <c r="I58" s="24"/>
      <c r="J58" s="24"/>
      <c r="K58" s="24"/>
      <c r="L58" s="24"/>
    </row>
    <row r="59" spans="1:13" x14ac:dyDescent="0.25">
      <c r="A59" s="20" t="s">
        <v>58</v>
      </c>
      <c r="B59" s="41">
        <f>'по отчету'!B59/1000</f>
        <v>635297.9</v>
      </c>
      <c r="C59" s="41">
        <f>'по отчету'!B59/1000</f>
        <v>635297.9</v>
      </c>
      <c r="D59" s="41">
        <f>'по отчету'!C59/1000</f>
        <v>1113062</v>
      </c>
      <c r="E59" s="37">
        <f t="shared" si="0"/>
        <v>477764</v>
      </c>
      <c r="F59" s="49">
        <v>1029566249.17</v>
      </c>
      <c r="G59" s="49">
        <v>635297911.88999999</v>
      </c>
      <c r="H59" s="49">
        <v>635297911.88999999</v>
      </c>
      <c r="I59" s="24"/>
      <c r="J59" s="24"/>
      <c r="K59" s="24"/>
      <c r="L59" s="24"/>
    </row>
    <row r="60" spans="1:13" x14ac:dyDescent="0.25">
      <c r="A60" s="20" t="s">
        <v>59</v>
      </c>
      <c r="B60" s="41">
        <f>'по отчету'!B60/1000</f>
        <v>1430066.8</v>
      </c>
      <c r="C60" s="41">
        <f>'по отчету'!B60/1000</f>
        <v>1430066.8</v>
      </c>
      <c r="D60" s="41">
        <f>'по отчету'!C60/1000</f>
        <v>3123330.3</v>
      </c>
      <c r="E60" s="37">
        <f t="shared" si="0"/>
        <v>1693264</v>
      </c>
      <c r="F60" s="49">
        <v>1430958481.26</v>
      </c>
      <c r="G60" s="49">
        <v>1430066791.26</v>
      </c>
      <c r="H60" s="49">
        <v>1430066791.26</v>
      </c>
      <c r="I60" s="24"/>
      <c r="J60" s="24"/>
      <c r="K60" s="24"/>
      <c r="L60" s="24"/>
    </row>
    <row r="61" spans="1:13" x14ac:dyDescent="0.25">
      <c r="A61" s="20" t="s">
        <v>60</v>
      </c>
      <c r="B61" s="41">
        <f>'по отчету'!B61/1000</f>
        <v>9083408.6999999993</v>
      </c>
      <c r="C61" s="41">
        <f>'по отчету'!B61/1000</f>
        <v>9083408.6999999993</v>
      </c>
      <c r="D61" s="41">
        <f>'по отчету'!C61/1000</f>
        <v>13588336.4</v>
      </c>
      <c r="E61" s="37">
        <f t="shared" si="0"/>
        <v>4504928</v>
      </c>
      <c r="F61" s="49">
        <v>9162319999.8600006</v>
      </c>
      <c r="G61" s="49">
        <v>9083408713.3999996</v>
      </c>
      <c r="H61" s="49">
        <v>9083408713.3999996</v>
      </c>
      <c r="I61" s="24"/>
      <c r="J61" s="24"/>
      <c r="K61" s="24"/>
      <c r="L61" s="24"/>
    </row>
    <row r="62" spans="1:13" x14ac:dyDescent="0.25">
      <c r="A62" s="20" t="s">
        <v>61</v>
      </c>
      <c r="B62" s="41">
        <v>130489.5</v>
      </c>
      <c r="C62" s="41">
        <f>'по отчету'!B62/1000</f>
        <v>130489.4</v>
      </c>
      <c r="D62" s="41">
        <f>'по отчету'!C62/1000</f>
        <v>493790.6</v>
      </c>
      <c r="E62" s="37">
        <f t="shared" si="0"/>
        <v>363301</v>
      </c>
      <c r="F62" s="49">
        <v>297965274.66000003</v>
      </c>
      <c r="G62" s="49">
        <v>130489433.02</v>
      </c>
      <c r="H62" s="49">
        <v>130489433.02</v>
      </c>
      <c r="I62" s="24"/>
      <c r="J62" s="24"/>
      <c r="K62" s="24"/>
      <c r="L62" s="24"/>
    </row>
    <row r="63" spans="1:13" x14ac:dyDescent="0.25">
      <c r="A63" s="20" t="s">
        <v>62</v>
      </c>
      <c r="B63" s="41">
        <f>'по отчету'!B63/1000</f>
        <v>63055.5</v>
      </c>
      <c r="C63" s="41">
        <f>'по отчету'!B63/1000</f>
        <v>63055.5</v>
      </c>
      <c r="D63" s="41">
        <f>'по отчету'!C63/1000</f>
        <v>93488.7</v>
      </c>
      <c r="E63" s="37">
        <f t="shared" si="0"/>
        <v>30433</v>
      </c>
      <c r="F63" s="49">
        <v>67899269.680000007</v>
      </c>
      <c r="G63" s="49">
        <v>63055510</v>
      </c>
      <c r="H63" s="49">
        <v>63055510</v>
      </c>
      <c r="I63" s="24"/>
      <c r="J63" s="24"/>
      <c r="K63" s="24"/>
      <c r="L63" s="24"/>
    </row>
    <row r="64" spans="1:13" x14ac:dyDescent="0.25">
      <c r="A64" s="20" t="s">
        <v>63</v>
      </c>
      <c r="B64" s="41">
        <f>'по отчету'!B64/1000</f>
        <v>671554.6</v>
      </c>
      <c r="C64" s="41">
        <f>'по отчету'!B64/1000</f>
        <v>671554.6</v>
      </c>
      <c r="D64" s="41">
        <f>'по отчету'!C64/1000</f>
        <v>1304677.2</v>
      </c>
      <c r="E64" s="37">
        <f t="shared" si="0"/>
        <v>633123</v>
      </c>
      <c r="F64" s="49">
        <v>848838237.34000003</v>
      </c>
      <c r="G64" s="49">
        <v>671554621.57000005</v>
      </c>
      <c r="H64" s="49">
        <v>671554621.57000005</v>
      </c>
      <c r="I64" s="24"/>
      <c r="J64" s="24"/>
      <c r="K64" s="24"/>
      <c r="L64" s="24"/>
    </row>
    <row r="65" spans="1:12" ht="33" customHeight="1" x14ac:dyDescent="0.25">
      <c r="A65" s="20" t="s">
        <v>64</v>
      </c>
      <c r="B65" s="41">
        <f>'по отчету'!B65/1000</f>
        <v>789110</v>
      </c>
      <c r="C65" s="41">
        <f>'по отчету'!B65/1000</f>
        <v>789110</v>
      </c>
      <c r="D65" s="41">
        <f>'по отчету'!C65/1000</f>
        <v>1343504.5</v>
      </c>
      <c r="E65" s="37">
        <f t="shared" si="0"/>
        <v>554395</v>
      </c>
      <c r="F65" s="49"/>
      <c r="G65" s="49">
        <v>789110046.72000003</v>
      </c>
      <c r="H65" s="49">
        <v>789110046.72000003</v>
      </c>
      <c r="I65" s="24"/>
      <c r="J65" s="24"/>
      <c r="K65" s="24"/>
      <c r="L65" s="24"/>
    </row>
    <row r="66" spans="1:12" s="15" customFormat="1" x14ac:dyDescent="0.25">
      <c r="A66" s="7" t="s">
        <v>65</v>
      </c>
      <c r="B66" s="40">
        <f>SUM(B51:B54,B56:B65)</f>
        <v>23276982.100000001</v>
      </c>
      <c r="C66" s="40">
        <f>SUM(C51:C54,C56:C65)</f>
        <v>24205294.399999999</v>
      </c>
      <c r="D66" s="40">
        <f>SUM(D51:D54,D56:D65)</f>
        <v>43002064.899999999</v>
      </c>
      <c r="E66" s="37">
        <f t="shared" ref="E66" si="1">B66*100/D66</f>
        <v>54</v>
      </c>
      <c r="F66" s="12"/>
      <c r="G66" s="40">
        <f>SUM(G51:G54,G56:G65)</f>
        <v>23276982062.599998</v>
      </c>
      <c r="H66" s="28"/>
      <c r="I66" s="28"/>
      <c r="J66" s="28"/>
      <c r="K66" s="14"/>
      <c r="L66" s="14"/>
    </row>
    <row r="67" spans="1:12" s="23" customFormat="1" ht="31.5" x14ac:dyDescent="0.25">
      <c r="A67" s="7" t="s">
        <v>47</v>
      </c>
      <c r="B67" s="40">
        <f>B5+B33-B66</f>
        <v>5513780.0999999996</v>
      </c>
      <c r="C67" s="40">
        <f>C5+C33-C66</f>
        <v>4756166.8</v>
      </c>
      <c r="D67" s="40">
        <f>D5+D33-D66</f>
        <v>1407065.1</v>
      </c>
      <c r="E67" s="37"/>
      <c r="F67" s="12"/>
      <c r="G67" s="40">
        <f>G5+G33-G66</f>
        <v>5631980136.8999996</v>
      </c>
      <c r="H67" s="22"/>
      <c r="I67" s="22"/>
      <c r="J67" s="22"/>
      <c r="K67" s="22"/>
    </row>
    <row r="68" spans="1:12" s="23" customFormat="1" ht="17.25" customHeight="1" x14ac:dyDescent="0.25">
      <c r="A68" s="7" t="s">
        <v>29</v>
      </c>
      <c r="B68" s="40">
        <f>B69+B70+B71+B72+B78</f>
        <v>-5513780.0999999996</v>
      </c>
      <c r="C68" s="40">
        <f>C69+C70+C71+C72+C78</f>
        <v>146788.6</v>
      </c>
      <c r="D68" s="40">
        <f>D69+D70+D71+D72+D78</f>
        <v>146788.6</v>
      </c>
      <c r="E68" s="37"/>
      <c r="F68" s="21"/>
      <c r="G68" s="22"/>
      <c r="H68" s="22"/>
      <c r="I68" s="22"/>
    </row>
    <row r="69" spans="1:12" ht="33.75" customHeight="1" x14ac:dyDescent="0.25">
      <c r="A69" s="16" t="s">
        <v>30</v>
      </c>
      <c r="B69" s="41">
        <v>-1550000</v>
      </c>
      <c r="C69" s="41">
        <v>450000</v>
      </c>
      <c r="D69" s="41">
        <v>450000</v>
      </c>
      <c r="E69" s="37"/>
      <c r="F69" s="19"/>
    </row>
    <row r="70" spans="1:12" ht="17.25" customHeight="1" x14ac:dyDescent="0.25">
      <c r="A70" s="16" t="s">
        <v>31</v>
      </c>
      <c r="B70" s="41">
        <v>-2320000</v>
      </c>
      <c r="C70" s="41">
        <v>2336995.2000000002</v>
      </c>
      <c r="D70" s="41">
        <v>2336995.2000000002</v>
      </c>
      <c r="E70" s="37"/>
      <c r="F70" s="19"/>
    </row>
    <row r="71" spans="1:12" ht="31.5" x14ac:dyDescent="0.25">
      <c r="A71" s="16" t="s">
        <v>32</v>
      </c>
      <c r="B71" s="41">
        <v>-2800125.5</v>
      </c>
      <c r="C71" s="41">
        <v>-2800125.5</v>
      </c>
      <c r="D71" s="41">
        <v>-2800125.5</v>
      </c>
      <c r="E71" s="37"/>
      <c r="F71" s="19"/>
    </row>
    <row r="72" spans="1:12" ht="31.5" x14ac:dyDescent="0.25">
      <c r="A72" s="16" t="s">
        <v>33</v>
      </c>
      <c r="B72" s="41">
        <v>1488381.9</v>
      </c>
      <c r="C72" s="41">
        <f>C73+C74+C76</f>
        <v>0</v>
      </c>
      <c r="D72" s="41">
        <f>D73+D74+D76</f>
        <v>0</v>
      </c>
      <c r="E72" s="37"/>
      <c r="F72" s="19"/>
    </row>
    <row r="73" spans="1:12" ht="31.5" x14ac:dyDescent="0.25">
      <c r="A73" s="18" t="s">
        <v>34</v>
      </c>
      <c r="B73" s="41">
        <v>1844</v>
      </c>
      <c r="C73" s="41">
        <v>59730</v>
      </c>
      <c r="D73" s="41">
        <v>59730</v>
      </c>
      <c r="E73" s="37"/>
      <c r="F73" s="19"/>
    </row>
    <row r="74" spans="1:12" ht="31.5" x14ac:dyDescent="0.25">
      <c r="A74" s="18" t="s">
        <v>44</v>
      </c>
      <c r="B74" s="41">
        <v>0</v>
      </c>
      <c r="C74" s="41">
        <v>-59730</v>
      </c>
      <c r="D74" s="41">
        <v>-59730</v>
      </c>
      <c r="E74" s="37"/>
      <c r="F74" s="19"/>
    </row>
    <row r="75" spans="1:12" hidden="1" x14ac:dyDescent="0.25">
      <c r="A75" s="18" t="s">
        <v>41</v>
      </c>
      <c r="B75" s="41"/>
      <c r="C75" s="41"/>
      <c r="D75" s="41"/>
      <c r="E75" s="37"/>
      <c r="F75" s="19"/>
    </row>
    <row r="76" spans="1:12" ht="31.5" x14ac:dyDescent="0.25">
      <c r="A76" s="18" t="s">
        <v>46</v>
      </c>
      <c r="B76" s="41">
        <v>112257.5</v>
      </c>
      <c r="C76" s="41">
        <v>0</v>
      </c>
      <c r="D76" s="41">
        <v>0</v>
      </c>
      <c r="E76" s="37"/>
      <c r="F76" s="19"/>
    </row>
    <row r="77" spans="1:12" ht="31.5" x14ac:dyDescent="0.25">
      <c r="A77" s="18" t="s">
        <v>45</v>
      </c>
      <c r="B77" s="41">
        <v>1374280.4</v>
      </c>
      <c r="C77" s="41">
        <v>0</v>
      </c>
      <c r="D77" s="41">
        <v>0</v>
      </c>
      <c r="E77" s="37"/>
      <c r="F77" s="19"/>
    </row>
    <row r="78" spans="1:12" ht="16.5" customHeight="1" x14ac:dyDescent="0.25">
      <c r="A78" s="20" t="s">
        <v>35</v>
      </c>
      <c r="B78" s="41">
        <v>-332036.5</v>
      </c>
      <c r="C78" s="41">
        <v>159918.9</v>
      </c>
      <c r="D78" s="41">
        <v>159918.9</v>
      </c>
      <c r="E78" s="37"/>
      <c r="F78" s="19"/>
    </row>
    <row r="79" spans="1:12" x14ac:dyDescent="0.25">
      <c r="A79" s="29"/>
      <c r="B79" s="28">
        <f>B67+B68</f>
        <v>0</v>
      </c>
      <c r="C79" s="28"/>
      <c r="D79" s="28">
        <f>D67+D68</f>
        <v>1553854</v>
      </c>
    </row>
    <row r="80" spans="1:12" ht="10.5" customHeight="1" x14ac:dyDescent="0.25">
      <c r="A80" s="30"/>
      <c r="B80" s="38"/>
      <c r="C80" s="38"/>
      <c r="D80" s="35"/>
    </row>
    <row r="81" spans="1:4" x14ac:dyDescent="0.25">
      <c r="B81" s="39"/>
      <c r="C81" s="39"/>
      <c r="D81" s="36"/>
    </row>
    <row r="82" spans="1:4" x14ac:dyDescent="0.25">
      <c r="B82" s="39"/>
      <c r="C82" s="39"/>
      <c r="D82" s="36"/>
    </row>
    <row r="83" spans="1:4" ht="12.75" customHeight="1" x14ac:dyDescent="0.25">
      <c r="A83" s="30"/>
      <c r="B83" s="38"/>
      <c r="C83" s="38"/>
      <c r="D83" s="35"/>
    </row>
    <row r="84" spans="1:4" ht="11.25" customHeight="1" x14ac:dyDescent="0.25">
      <c r="B84" s="32"/>
      <c r="C84" s="32"/>
      <c r="D84" s="32"/>
    </row>
    <row r="85" spans="1:4" x14ac:dyDescent="0.25">
      <c r="B85" s="27"/>
      <c r="C85" s="27"/>
      <c r="D85" s="27"/>
    </row>
    <row r="86" spans="1:4" x14ac:dyDescent="0.25">
      <c r="B86" s="28"/>
      <c r="C86" s="28"/>
      <c r="D86" s="28"/>
    </row>
    <row r="89" spans="1:4" ht="11.25" customHeight="1" x14ac:dyDescent="0.25">
      <c r="A89" s="30"/>
      <c r="B89" s="38"/>
      <c r="C89" s="38"/>
      <c r="D89" s="35"/>
    </row>
    <row r="90" spans="1:4" x14ac:dyDescent="0.25">
      <c r="A90" s="29"/>
      <c r="B90" s="28"/>
      <c r="C90" s="28"/>
      <c r="D90" s="28"/>
    </row>
  </sheetData>
  <customSheetViews>
    <customSheetView guid="{BD55AB36-084D-4C26-BAB2-482C24A270C8}" showPageBreaks="1" printArea="1" hiddenRows="1" state="hidden" view="pageBreakPreview">
      <pane xSplit="1" ySplit="3" topLeftCell="B23" activePane="bottomRight" state="frozen"/>
      <selection pane="bottomRight" activeCell="A25" sqref="A25"/>
      <rowBreaks count="2" manualBreakCount="2">
        <brk id="32" max="16383" man="1"/>
        <brk id="67" max="16383" man="1"/>
      </rowBreaks>
      <colBreaks count="1" manualBreakCount="1">
        <brk id="3" max="77" man="1"/>
      </colBreaks>
      <pageMargins left="0.62992125984251968" right="0.15748031496062992" top="0.59055118110236227" bottom="0.55118110236220474" header="0.15748031496062992" footer="0.15748031496062992"/>
      <pageSetup paperSize="9" scale="96" fitToHeight="0" orientation="portrait" r:id="rId1"/>
      <headerFooter alignWithMargins="0"/>
    </customSheetView>
    <customSheetView guid="{34D410AD-58B4-4435-9ED5-15CA72283006}" showPageBreaks="1" printArea="1" hiddenRows="1" state="hidden" view="pageBreakPreview">
      <pane xSplit="1" ySplit="3" topLeftCell="B23" activePane="bottomRight" state="frozen"/>
      <selection pane="bottomRight" activeCell="A25" sqref="A25"/>
      <rowBreaks count="2" manualBreakCount="2">
        <brk id="32" max="16383" man="1"/>
        <brk id="67" max="16383" man="1"/>
      </rowBreaks>
      <colBreaks count="1" manualBreakCount="1">
        <brk id="3" max="77" man="1"/>
      </colBreaks>
      <pageMargins left="0.62992125984251968" right="0.15748031496062992" top="0.59055118110236227" bottom="0.55118110236220474" header="0.15748031496062992" footer="0.15748031496062992"/>
      <pageSetup paperSize="9" scale="96" fitToHeight="0" orientation="portrait" r:id="rId2"/>
      <headerFooter alignWithMargins="0"/>
    </customSheetView>
    <customSheetView guid="{0E91F95C-B82B-4A7A-9432-6E8B0967BE54}" showPageBreaks="1" printArea="1" hiddenRows="1" state="hidden" view="pageBreakPreview">
      <pane xSplit="1" ySplit="3" topLeftCell="B23" activePane="bottomRight" state="frozen"/>
      <selection pane="bottomRight" activeCell="A25" sqref="A25"/>
      <rowBreaks count="2" manualBreakCount="2">
        <brk id="32" max="16383" man="1"/>
        <brk id="67" max="16383" man="1"/>
      </rowBreaks>
      <colBreaks count="1" manualBreakCount="1">
        <brk id="3" max="77" man="1"/>
      </colBreaks>
      <pageMargins left="0.62992125984251968" right="0.15748031496062992" top="0.59055118110236227" bottom="0.55118110236220474" header="0.15748031496062992" footer="0.15748031496062992"/>
      <pageSetup paperSize="9" scale="96" fitToHeight="0" orientation="portrait" r:id="rId3"/>
      <headerFooter alignWithMargins="0"/>
    </customSheetView>
  </customSheetViews>
  <mergeCells count="3">
    <mergeCell ref="A1:D1"/>
    <mergeCell ref="F28:F29"/>
    <mergeCell ref="F31:F32"/>
  </mergeCells>
  <pageMargins left="0.62992125984251968" right="0.15748031496062992" top="0.59055118110236227" bottom="0.55118110236220474" header="0.15748031496062992" footer="0.15748031496062992"/>
  <pageSetup paperSize="9" scale="96" fitToHeight="0" orientation="portrait" r:id="rId4"/>
  <headerFooter alignWithMargins="0"/>
  <rowBreaks count="2" manualBreakCount="2">
    <brk id="32" max="16383" man="1"/>
    <brk id="67" max="16383" man="1"/>
  </rowBreaks>
  <colBreaks count="1" manualBreakCount="1">
    <brk id="3" max="7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view="pageBreakPreview" zoomScaleSheetLayoutView="100" workbookViewId="0">
      <pane xSplit="1" ySplit="3" topLeftCell="B23" activePane="bottomRight" state="frozen"/>
      <selection pane="topRight" activeCell="B1" sqref="B1"/>
      <selection pane="bottomLeft" activeCell="A4" sqref="A4"/>
      <selection pane="bottomRight" activeCell="A25" sqref="A25"/>
    </sheetView>
  </sheetViews>
  <sheetFormatPr defaultColWidth="9.140625" defaultRowHeight="15.75" x14ac:dyDescent="0.25"/>
  <cols>
    <col min="1" max="1" width="64.42578125" style="31" customWidth="1"/>
    <col min="2" max="2" width="14.7109375" style="14" customWidth="1"/>
    <col min="3" max="3" width="14.140625" style="14" customWidth="1"/>
    <col min="4" max="4" width="13.85546875" style="3" bestFit="1" customWidth="1"/>
    <col min="5" max="5" width="14.140625" style="3" bestFit="1" customWidth="1"/>
    <col min="6" max="6" width="8" style="3" customWidth="1"/>
    <col min="7" max="7" width="10.140625" style="3" customWidth="1"/>
    <col min="8" max="16384" width="9.140625" style="3"/>
  </cols>
  <sheetData>
    <row r="1" spans="1:12" s="1" customFormat="1" ht="36" customHeight="1" x14ac:dyDescent="0.25">
      <c r="A1" s="151" t="s">
        <v>75</v>
      </c>
      <c r="B1" s="151"/>
      <c r="C1" s="151"/>
    </row>
    <row r="2" spans="1:12" ht="13.5" customHeight="1" x14ac:dyDescent="0.25">
      <c r="A2" s="2"/>
      <c r="B2" s="33"/>
      <c r="C2" s="33" t="s">
        <v>48</v>
      </c>
    </row>
    <row r="3" spans="1:12" s="6" customFormat="1" ht="48.75" customHeight="1" x14ac:dyDescent="0.2">
      <c r="A3" s="4" t="s">
        <v>0</v>
      </c>
      <c r="B3" s="34" t="s">
        <v>74</v>
      </c>
      <c r="C3" s="34" t="s">
        <v>67</v>
      </c>
      <c r="D3" s="5"/>
    </row>
    <row r="4" spans="1:12" s="11" customFormat="1" x14ac:dyDescent="0.2">
      <c r="A4" s="7" t="s">
        <v>39</v>
      </c>
      <c r="B4" s="8"/>
      <c r="C4" s="8"/>
      <c r="D4" s="9"/>
      <c r="E4" s="10"/>
    </row>
    <row r="5" spans="1:12" s="15" customFormat="1" x14ac:dyDescent="0.25">
      <c r="A5" s="7" t="s">
        <v>1</v>
      </c>
      <c r="B5" s="40">
        <v>14754924.199999999</v>
      </c>
      <c r="C5" s="40">
        <v>23538035.699999999</v>
      </c>
      <c r="D5" s="37">
        <f>B5*100/C5</f>
        <v>63</v>
      </c>
      <c r="E5" s="12"/>
      <c r="F5" s="14"/>
      <c r="G5" s="14"/>
      <c r="H5" s="14"/>
      <c r="I5" s="14"/>
      <c r="J5" s="14"/>
      <c r="K5" s="14"/>
      <c r="L5" s="14"/>
    </row>
    <row r="6" spans="1:12" x14ac:dyDescent="0.25">
      <c r="A6" s="16" t="s">
        <v>2</v>
      </c>
      <c r="B6" s="41">
        <v>9139923.9000000004</v>
      </c>
      <c r="C6" s="41">
        <v>14358900</v>
      </c>
      <c r="D6" s="37">
        <f t="shared" ref="D6:D66" si="0">B6*100/C6</f>
        <v>64</v>
      </c>
      <c r="E6" s="17"/>
    </row>
    <row r="7" spans="1:12" x14ac:dyDescent="0.25">
      <c r="A7" s="18" t="s">
        <v>3</v>
      </c>
      <c r="B7" s="41">
        <v>4441309.9000000004</v>
      </c>
      <c r="C7" s="41">
        <v>5913100</v>
      </c>
      <c r="D7" s="37">
        <f t="shared" si="0"/>
        <v>75</v>
      </c>
      <c r="E7" s="19"/>
    </row>
    <row r="8" spans="1:12" x14ac:dyDescent="0.25">
      <c r="A8" s="18" t="s">
        <v>4</v>
      </c>
      <c r="B8" s="41">
        <v>4698614</v>
      </c>
      <c r="C8" s="41">
        <v>8445800</v>
      </c>
      <c r="D8" s="37">
        <f t="shared" si="0"/>
        <v>56</v>
      </c>
      <c r="E8" s="19"/>
    </row>
    <row r="9" spans="1:12" ht="34.5" customHeight="1" x14ac:dyDescent="0.25">
      <c r="A9" s="16" t="s">
        <v>5</v>
      </c>
      <c r="B9" s="41">
        <v>1320330.8999999999</v>
      </c>
      <c r="C9" s="41">
        <v>2290166</v>
      </c>
      <c r="D9" s="37">
        <f t="shared" si="0"/>
        <v>58</v>
      </c>
      <c r="E9" s="19"/>
    </row>
    <row r="10" spans="1:12" x14ac:dyDescent="0.25">
      <c r="A10" s="18" t="s">
        <v>6</v>
      </c>
      <c r="B10" s="41">
        <v>1320330.8999999999</v>
      </c>
      <c r="C10" s="41">
        <v>2290166</v>
      </c>
      <c r="D10" s="37">
        <f t="shared" si="0"/>
        <v>58</v>
      </c>
      <c r="E10" s="19"/>
    </row>
    <row r="11" spans="1:12" x14ac:dyDescent="0.25">
      <c r="A11" s="18" t="s">
        <v>43</v>
      </c>
      <c r="B11" s="41">
        <v>233532.7</v>
      </c>
      <c r="C11" s="41">
        <v>442408</v>
      </c>
      <c r="D11" s="37">
        <f t="shared" si="0"/>
        <v>53</v>
      </c>
      <c r="E11" s="19"/>
    </row>
    <row r="12" spans="1:12" ht="32.25" customHeight="1" x14ac:dyDescent="0.25">
      <c r="A12" s="18" t="s">
        <v>71</v>
      </c>
      <c r="B12" s="41">
        <v>1086798.2</v>
      </c>
      <c r="C12" s="41">
        <v>1847758</v>
      </c>
      <c r="D12" s="37">
        <f t="shared" si="0"/>
        <v>59</v>
      </c>
      <c r="E12" s="19"/>
    </row>
    <row r="13" spans="1:12" ht="31.5" hidden="1" x14ac:dyDescent="0.25">
      <c r="A13" s="18" t="s">
        <v>68</v>
      </c>
      <c r="B13" s="41">
        <v>-436</v>
      </c>
      <c r="C13" s="42"/>
      <c r="D13" s="37" t="e">
        <f t="shared" si="0"/>
        <v>#DIV/0!</v>
      </c>
      <c r="E13" s="19"/>
    </row>
    <row r="14" spans="1:12" x14ac:dyDescent="0.25">
      <c r="A14" s="16" t="s">
        <v>7</v>
      </c>
      <c r="B14" s="41">
        <v>1183869.1000000001</v>
      </c>
      <c r="C14" s="41">
        <v>1592858</v>
      </c>
      <c r="D14" s="37">
        <f t="shared" si="0"/>
        <v>74</v>
      </c>
      <c r="E14" s="19"/>
    </row>
    <row r="15" spans="1:12" ht="31.5" x14ac:dyDescent="0.25">
      <c r="A15" s="18" t="s">
        <v>36</v>
      </c>
      <c r="B15" s="41">
        <v>1183869.1000000001</v>
      </c>
      <c r="C15" s="41">
        <v>1592858</v>
      </c>
      <c r="D15" s="37">
        <f t="shared" si="0"/>
        <v>74</v>
      </c>
      <c r="E15" s="19"/>
    </row>
    <row r="16" spans="1:12" hidden="1" x14ac:dyDescent="0.25">
      <c r="A16" s="18" t="s">
        <v>8</v>
      </c>
      <c r="B16" s="41">
        <v>0</v>
      </c>
      <c r="C16" s="41">
        <v>0</v>
      </c>
      <c r="D16" s="37" t="e">
        <f t="shared" si="0"/>
        <v>#DIV/0!</v>
      </c>
      <c r="E16" s="19"/>
    </row>
    <row r="17" spans="1:5" x14ac:dyDescent="0.25">
      <c r="A17" s="16" t="s">
        <v>9</v>
      </c>
      <c r="B17" s="41">
        <v>1713516.1</v>
      </c>
      <c r="C17" s="41">
        <v>3040130</v>
      </c>
      <c r="D17" s="37">
        <f t="shared" si="0"/>
        <v>56</v>
      </c>
      <c r="E17" s="19"/>
    </row>
    <row r="18" spans="1:5" x14ac:dyDescent="0.25">
      <c r="A18" s="18" t="s">
        <v>10</v>
      </c>
      <c r="B18" s="41">
        <v>1479882.4</v>
      </c>
      <c r="C18" s="41">
        <v>2330130</v>
      </c>
      <c r="D18" s="37">
        <f t="shared" si="0"/>
        <v>64</v>
      </c>
      <c r="E18" s="19"/>
    </row>
    <row r="19" spans="1:5" x14ac:dyDescent="0.25">
      <c r="A19" s="18" t="s">
        <v>11</v>
      </c>
      <c r="B19" s="41">
        <v>232858.7</v>
      </c>
      <c r="C19" s="41">
        <v>708500</v>
      </c>
      <c r="D19" s="37">
        <f t="shared" si="0"/>
        <v>33</v>
      </c>
      <c r="E19" s="19"/>
    </row>
    <row r="20" spans="1:5" x14ac:dyDescent="0.25">
      <c r="A20" s="18" t="s">
        <v>12</v>
      </c>
      <c r="B20" s="41">
        <v>775</v>
      </c>
      <c r="C20" s="41">
        <v>1500</v>
      </c>
      <c r="D20" s="37">
        <f t="shared" si="0"/>
        <v>52</v>
      </c>
      <c r="E20" s="19"/>
    </row>
    <row r="21" spans="1:5" ht="31.5" x14ac:dyDescent="0.25">
      <c r="A21" s="16" t="s">
        <v>13</v>
      </c>
      <c r="B21" s="41">
        <v>370007.7</v>
      </c>
      <c r="C21" s="41">
        <v>634456</v>
      </c>
      <c r="D21" s="37">
        <f t="shared" si="0"/>
        <v>58</v>
      </c>
      <c r="E21" s="19"/>
    </row>
    <row r="22" spans="1:5" x14ac:dyDescent="0.25">
      <c r="A22" s="18" t="s">
        <v>14</v>
      </c>
      <c r="B22" s="41">
        <v>352229.7</v>
      </c>
      <c r="C22" s="41">
        <v>589536</v>
      </c>
      <c r="D22" s="37">
        <f t="shared" si="0"/>
        <v>60</v>
      </c>
      <c r="E22" s="19"/>
    </row>
    <row r="23" spans="1:5" ht="31.5" x14ac:dyDescent="0.25">
      <c r="A23" s="18" t="s">
        <v>15</v>
      </c>
      <c r="B23" s="41">
        <v>17778</v>
      </c>
      <c r="C23" s="41">
        <v>44920</v>
      </c>
      <c r="D23" s="37">
        <f t="shared" si="0"/>
        <v>40</v>
      </c>
      <c r="E23" s="19"/>
    </row>
    <row r="24" spans="1:5" s="15" customFormat="1" x14ac:dyDescent="0.25">
      <c r="A24" s="20" t="s">
        <v>79</v>
      </c>
      <c r="B24" s="41">
        <v>64917.9</v>
      </c>
      <c r="C24" s="41">
        <v>122100</v>
      </c>
      <c r="D24" s="37">
        <f t="shared" si="0"/>
        <v>53</v>
      </c>
      <c r="E24" s="19"/>
    </row>
    <row r="25" spans="1:5" ht="47.25" hidden="1" x14ac:dyDescent="0.25">
      <c r="A25" s="16" t="s">
        <v>16</v>
      </c>
      <c r="B25" s="45">
        <v>0</v>
      </c>
      <c r="C25" s="46"/>
      <c r="D25" s="37"/>
      <c r="E25" s="19"/>
    </row>
    <row r="26" spans="1:5" ht="47.25" x14ac:dyDescent="0.25">
      <c r="A26" s="16" t="s">
        <v>17</v>
      </c>
      <c r="B26" s="41">
        <v>90426.6</v>
      </c>
      <c r="C26" s="41">
        <v>212161</v>
      </c>
      <c r="D26" s="37">
        <f t="shared" si="0"/>
        <v>43</v>
      </c>
      <c r="E26" s="19"/>
    </row>
    <row r="27" spans="1:5" ht="18" customHeight="1" x14ac:dyDescent="0.25">
      <c r="A27" s="16" t="s">
        <v>18</v>
      </c>
      <c r="B27" s="41">
        <v>588140.4</v>
      </c>
      <c r="C27" s="41">
        <v>841598</v>
      </c>
      <c r="D27" s="37">
        <f t="shared" si="0"/>
        <v>70</v>
      </c>
      <c r="E27" s="19"/>
    </row>
    <row r="28" spans="1:5" s="15" customFormat="1" ht="63" x14ac:dyDescent="0.25">
      <c r="A28" s="20" t="s">
        <v>80</v>
      </c>
      <c r="B28" s="41">
        <v>156115</v>
      </c>
      <c r="C28" s="41">
        <v>200466.7</v>
      </c>
      <c r="D28" s="37">
        <f t="shared" si="0"/>
        <v>78</v>
      </c>
      <c r="E28" s="19"/>
    </row>
    <row r="29" spans="1:5" s="15" customFormat="1" ht="31.5" hidden="1" x14ac:dyDescent="0.25">
      <c r="A29" s="20" t="s">
        <v>78</v>
      </c>
      <c r="B29" s="41"/>
      <c r="C29" s="41"/>
      <c r="D29" s="37" t="e">
        <f t="shared" si="0"/>
        <v>#DIV/0!</v>
      </c>
      <c r="E29" s="19"/>
    </row>
    <row r="30" spans="1:5" x14ac:dyDescent="0.25">
      <c r="A30" s="16" t="s">
        <v>19</v>
      </c>
      <c r="B30" s="41">
        <v>453.6</v>
      </c>
      <c r="C30" s="41">
        <v>1200</v>
      </c>
      <c r="D30" s="37">
        <f t="shared" si="0"/>
        <v>38</v>
      </c>
      <c r="E30" s="19"/>
    </row>
    <row r="31" spans="1:5" ht="31.5" x14ac:dyDescent="0.25">
      <c r="A31" s="16" t="s">
        <v>81</v>
      </c>
      <c r="B31" s="41">
        <v>127223</v>
      </c>
      <c r="C31" s="41">
        <v>244000</v>
      </c>
      <c r="D31" s="37">
        <f t="shared" si="0"/>
        <v>52</v>
      </c>
      <c r="E31" s="19"/>
    </row>
    <row r="32" spans="1:5" hidden="1" x14ac:dyDescent="0.25">
      <c r="A32" s="16" t="s">
        <v>77</v>
      </c>
      <c r="B32" s="45"/>
      <c r="C32" s="45">
        <v>0</v>
      </c>
      <c r="D32" s="37" t="e">
        <f t="shared" si="0"/>
        <v>#DIV/0!</v>
      </c>
      <c r="E32" s="19"/>
    </row>
    <row r="33" spans="1:12" s="23" customFormat="1" x14ac:dyDescent="0.25">
      <c r="A33" s="7" t="s">
        <v>22</v>
      </c>
      <c r="B33" s="40">
        <v>10042883.699999999</v>
      </c>
      <c r="C33" s="40">
        <f>C34+C43+C46+C47</f>
        <v>20883916.899999999</v>
      </c>
      <c r="D33" s="37">
        <f t="shared" si="0"/>
        <v>48</v>
      </c>
      <c r="E33" s="12"/>
      <c r="F33" s="22"/>
      <c r="G33" s="22"/>
      <c r="H33" s="22"/>
      <c r="I33" s="22"/>
      <c r="J33" s="22"/>
      <c r="K33" s="22"/>
      <c r="L33" s="22"/>
    </row>
    <row r="34" spans="1:12" ht="33" customHeight="1" x14ac:dyDescent="0.25">
      <c r="A34" s="16" t="s">
        <v>37</v>
      </c>
      <c r="B34" s="41">
        <v>9858365</v>
      </c>
      <c r="C34" s="41">
        <v>20089875.100000001</v>
      </c>
      <c r="D34" s="37">
        <f t="shared" si="0"/>
        <v>49</v>
      </c>
      <c r="E34" s="13"/>
      <c r="F34" s="24"/>
      <c r="G34" s="24"/>
      <c r="H34" s="24"/>
    </row>
    <row r="35" spans="1:12" ht="31.5" x14ac:dyDescent="0.25">
      <c r="A35" s="16" t="s">
        <v>23</v>
      </c>
      <c r="B35" s="41">
        <v>7956536.5</v>
      </c>
      <c r="C35" s="41">
        <v>13084604.4</v>
      </c>
      <c r="D35" s="37">
        <f t="shared" si="0"/>
        <v>61</v>
      </c>
      <c r="E35" s="19"/>
    </row>
    <row r="36" spans="1:12" x14ac:dyDescent="0.25">
      <c r="A36" s="18" t="s">
        <v>69</v>
      </c>
      <c r="B36" s="41">
        <v>4983149.5</v>
      </c>
      <c r="C36" s="41">
        <v>8542541.4000000004</v>
      </c>
      <c r="D36" s="37">
        <f t="shared" si="0"/>
        <v>58</v>
      </c>
      <c r="E36" s="19"/>
    </row>
    <row r="37" spans="1:12" ht="31.5" x14ac:dyDescent="0.25">
      <c r="A37" s="18" t="s">
        <v>70</v>
      </c>
      <c r="B37" s="41">
        <v>777235</v>
      </c>
      <c r="C37" s="41">
        <v>777235</v>
      </c>
      <c r="D37" s="37">
        <f t="shared" si="0"/>
        <v>100</v>
      </c>
      <c r="E37" s="19"/>
    </row>
    <row r="38" spans="1:12" ht="47.25" x14ac:dyDescent="0.25">
      <c r="A38" s="18" t="s">
        <v>66</v>
      </c>
      <c r="B38" s="41">
        <v>2196152</v>
      </c>
      <c r="C38" s="41">
        <v>3764828</v>
      </c>
      <c r="D38" s="37">
        <f t="shared" si="0"/>
        <v>58</v>
      </c>
      <c r="E38" s="19"/>
    </row>
    <row r="39" spans="1:12" ht="31.5" x14ac:dyDescent="0.25">
      <c r="A39" s="18" t="s">
        <v>24</v>
      </c>
      <c r="B39" s="41">
        <v>349337.9</v>
      </c>
      <c r="C39" s="41">
        <v>4228319.5</v>
      </c>
      <c r="D39" s="37">
        <f t="shared" si="0"/>
        <v>8</v>
      </c>
      <c r="E39" s="19"/>
    </row>
    <row r="40" spans="1:12" ht="31.5" x14ac:dyDescent="0.25">
      <c r="A40" s="18" t="s">
        <v>25</v>
      </c>
      <c r="B40" s="41">
        <v>1355661.3</v>
      </c>
      <c r="C40" s="41">
        <v>2326233.9</v>
      </c>
      <c r="D40" s="37">
        <f t="shared" si="0"/>
        <v>58</v>
      </c>
      <c r="E40" s="19"/>
    </row>
    <row r="41" spans="1:12" x14ac:dyDescent="0.25">
      <c r="A41" s="18" t="s">
        <v>26</v>
      </c>
      <c r="B41" s="41">
        <v>196829.3</v>
      </c>
      <c r="C41" s="41">
        <v>450717.3</v>
      </c>
      <c r="D41" s="37">
        <f t="shared" si="0"/>
        <v>44</v>
      </c>
      <c r="E41" s="19"/>
    </row>
    <row r="42" spans="1:12" hidden="1" x14ac:dyDescent="0.25">
      <c r="A42" s="18" t="s">
        <v>27</v>
      </c>
      <c r="B42" s="41"/>
      <c r="C42" s="41"/>
      <c r="D42" s="37" t="e">
        <f t="shared" si="0"/>
        <v>#DIV/0!</v>
      </c>
      <c r="E42" s="19"/>
    </row>
    <row r="43" spans="1:12" ht="31.5" x14ac:dyDescent="0.25">
      <c r="A43" s="16" t="s">
        <v>28</v>
      </c>
      <c r="B43" s="41">
        <v>233905.7</v>
      </c>
      <c r="C43" s="41">
        <v>838819.7</v>
      </c>
      <c r="D43" s="37">
        <f t="shared" si="0"/>
        <v>28</v>
      </c>
      <c r="E43" s="19"/>
    </row>
    <row r="44" spans="1:12" ht="31.5" hidden="1" x14ac:dyDescent="0.25">
      <c r="A44" s="16" t="s">
        <v>38</v>
      </c>
      <c r="B44" s="41">
        <v>0</v>
      </c>
      <c r="C44" s="41">
        <v>0</v>
      </c>
      <c r="D44" s="37" t="e">
        <f t="shared" si="0"/>
        <v>#DIV/0!</v>
      </c>
      <c r="E44" s="19"/>
    </row>
    <row r="45" spans="1:12" hidden="1" x14ac:dyDescent="0.25">
      <c r="A45" s="16" t="s">
        <v>42</v>
      </c>
      <c r="B45" s="41">
        <v>0</v>
      </c>
      <c r="C45" s="41">
        <v>0</v>
      </c>
      <c r="D45" s="37" t="e">
        <f t="shared" si="0"/>
        <v>#DIV/0!</v>
      </c>
      <c r="E45" s="19"/>
    </row>
    <row r="46" spans="1:12" x14ac:dyDescent="0.25">
      <c r="A46" s="16" t="s">
        <v>72</v>
      </c>
      <c r="B46" s="41">
        <v>3690.4</v>
      </c>
      <c r="C46" s="41">
        <v>8139.2</v>
      </c>
      <c r="D46" s="37">
        <f t="shared" si="0"/>
        <v>45</v>
      </c>
      <c r="E46" s="19"/>
    </row>
    <row r="47" spans="1:12" s="26" customFormat="1" ht="63" x14ac:dyDescent="0.25">
      <c r="A47" s="20" t="s">
        <v>73</v>
      </c>
      <c r="B47" s="41">
        <v>-53077.4</v>
      </c>
      <c r="C47" s="41">
        <v>-52917.1</v>
      </c>
      <c r="D47" s="37">
        <f t="shared" si="0"/>
        <v>100</v>
      </c>
      <c r="E47" s="25"/>
    </row>
    <row r="48" spans="1:12" s="26" customFormat="1" ht="31.5" hidden="1" x14ac:dyDescent="0.25">
      <c r="A48" s="20" t="s">
        <v>21</v>
      </c>
      <c r="B48" s="41"/>
      <c r="C48" s="41"/>
      <c r="D48" s="37" t="e">
        <f t="shared" si="0"/>
        <v>#DIV/0!</v>
      </c>
      <c r="E48" s="25"/>
    </row>
    <row r="49" spans="1:12" s="23" customFormat="1" x14ac:dyDescent="0.25">
      <c r="A49" s="7" t="s">
        <v>49</v>
      </c>
      <c r="B49" s="43">
        <f>B5+B33</f>
        <v>24797807.899999999</v>
      </c>
      <c r="C49" s="43">
        <f>C5+C33</f>
        <v>44421952.600000001</v>
      </c>
      <c r="D49" s="37">
        <f t="shared" si="0"/>
        <v>56</v>
      </c>
      <c r="E49" s="12"/>
      <c r="F49" s="22"/>
      <c r="G49" s="22"/>
      <c r="H49" s="22"/>
      <c r="I49" s="22"/>
      <c r="J49" s="22"/>
      <c r="K49" s="22"/>
      <c r="L49" s="22"/>
    </row>
    <row r="50" spans="1:12" s="23" customFormat="1" x14ac:dyDescent="0.25">
      <c r="A50" s="7" t="s">
        <v>40</v>
      </c>
      <c r="B50" s="41"/>
      <c r="C50" s="44"/>
      <c r="D50" s="37" t="e">
        <f t="shared" si="0"/>
        <v>#DIV/0!</v>
      </c>
      <c r="E50" s="25"/>
    </row>
    <row r="51" spans="1:12" x14ac:dyDescent="0.25">
      <c r="A51" s="20" t="s">
        <v>50</v>
      </c>
      <c r="B51" s="41">
        <v>788127.8</v>
      </c>
      <c r="C51" s="41">
        <v>1783911.5</v>
      </c>
      <c r="D51" s="37">
        <f t="shared" si="0"/>
        <v>44</v>
      </c>
      <c r="E51" s="13"/>
      <c r="F51" s="24"/>
      <c r="G51" s="24"/>
      <c r="H51" s="24"/>
      <c r="I51" s="24"/>
      <c r="J51" s="24"/>
      <c r="K51" s="24"/>
    </row>
    <row r="52" spans="1:12" x14ac:dyDescent="0.25">
      <c r="A52" s="20" t="s">
        <v>51</v>
      </c>
      <c r="B52" s="41">
        <v>9099.1</v>
      </c>
      <c r="C52" s="41">
        <v>18815.5</v>
      </c>
      <c r="D52" s="37">
        <f t="shared" si="0"/>
        <v>48</v>
      </c>
      <c r="E52" s="13"/>
      <c r="F52" s="24"/>
      <c r="G52" s="24"/>
      <c r="H52" s="24"/>
      <c r="I52" s="24"/>
      <c r="J52" s="24"/>
      <c r="K52" s="24"/>
    </row>
    <row r="53" spans="1:12" ht="17.25" customHeight="1" x14ac:dyDescent="0.25">
      <c r="A53" s="20" t="s">
        <v>52</v>
      </c>
      <c r="B53" s="41">
        <v>410748</v>
      </c>
      <c r="C53" s="41">
        <v>824335.6</v>
      </c>
      <c r="D53" s="37">
        <f t="shared" si="0"/>
        <v>50</v>
      </c>
      <c r="E53" s="13"/>
      <c r="F53" s="24"/>
      <c r="G53" s="24"/>
      <c r="H53" s="24"/>
      <c r="I53" s="24"/>
      <c r="J53" s="24"/>
      <c r="K53" s="24"/>
    </row>
    <row r="54" spans="1:12" x14ac:dyDescent="0.25">
      <c r="A54" s="20" t="s">
        <v>53</v>
      </c>
      <c r="B54" s="41">
        <v>2201349.6</v>
      </c>
      <c r="C54" s="41">
        <v>6829866</v>
      </c>
      <c r="D54" s="37">
        <f t="shared" si="0"/>
        <v>32</v>
      </c>
      <c r="E54" s="13"/>
      <c r="F54" s="24"/>
      <c r="G54" s="24"/>
      <c r="H54" s="24"/>
      <c r="I54" s="24"/>
      <c r="J54" s="24"/>
      <c r="K54" s="24"/>
    </row>
    <row r="55" spans="1:12" x14ac:dyDescent="0.25">
      <c r="A55" s="20" t="s">
        <v>54</v>
      </c>
      <c r="B55" s="41">
        <v>943449.59999999998</v>
      </c>
      <c r="C55" s="41">
        <v>3850202.8</v>
      </c>
      <c r="D55" s="37">
        <f t="shared" si="0"/>
        <v>25</v>
      </c>
      <c r="E55" s="13"/>
      <c r="F55" s="24"/>
      <c r="G55" s="24"/>
      <c r="H55" s="24"/>
      <c r="I55" s="24"/>
      <c r="J55" s="24"/>
      <c r="K55" s="24"/>
    </row>
    <row r="56" spans="1:12" x14ac:dyDescent="0.25">
      <c r="A56" s="20" t="s">
        <v>55</v>
      </c>
      <c r="B56" s="41">
        <v>758860.7</v>
      </c>
      <c r="C56" s="41">
        <v>4395897.7</v>
      </c>
      <c r="D56" s="37">
        <f t="shared" si="0"/>
        <v>17</v>
      </c>
      <c r="E56" s="13"/>
      <c r="F56" s="24"/>
      <c r="G56" s="24"/>
      <c r="H56" s="24"/>
      <c r="I56" s="24"/>
      <c r="J56" s="24"/>
      <c r="K56" s="24"/>
    </row>
    <row r="57" spans="1:12" x14ac:dyDescent="0.25">
      <c r="A57" s="20" t="s">
        <v>56</v>
      </c>
      <c r="B57" s="41">
        <v>5958.1</v>
      </c>
      <c r="C57" s="41">
        <v>14900.5</v>
      </c>
      <c r="D57" s="37">
        <f t="shared" si="0"/>
        <v>40</v>
      </c>
      <c r="E57" s="13"/>
      <c r="F57" s="24"/>
      <c r="G57" s="24"/>
      <c r="H57" s="24"/>
      <c r="I57" s="24"/>
      <c r="J57" s="24"/>
      <c r="K57" s="24"/>
    </row>
    <row r="58" spans="1:12" x14ac:dyDescent="0.25">
      <c r="A58" s="20" t="s">
        <v>57</v>
      </c>
      <c r="B58" s="41">
        <v>5030792.3</v>
      </c>
      <c r="C58" s="41">
        <v>8269179</v>
      </c>
      <c r="D58" s="37">
        <f t="shared" si="0"/>
        <v>61</v>
      </c>
      <c r="E58" s="13"/>
      <c r="F58" s="24"/>
      <c r="G58" s="24"/>
      <c r="H58" s="24"/>
      <c r="I58" s="24"/>
      <c r="J58" s="24"/>
      <c r="K58" s="24"/>
    </row>
    <row r="59" spans="1:12" x14ac:dyDescent="0.25">
      <c r="A59" s="20" t="s">
        <v>58</v>
      </c>
      <c r="B59" s="41">
        <v>575152.9</v>
      </c>
      <c r="C59" s="41">
        <v>1140727</v>
      </c>
      <c r="D59" s="37">
        <f t="shared" si="0"/>
        <v>50</v>
      </c>
      <c r="E59" s="13"/>
      <c r="F59" s="24"/>
      <c r="G59" s="24"/>
      <c r="H59" s="24"/>
      <c r="I59" s="24"/>
      <c r="J59" s="24"/>
      <c r="K59" s="24"/>
    </row>
    <row r="60" spans="1:12" x14ac:dyDescent="0.25">
      <c r="A60" s="20" t="s">
        <v>59</v>
      </c>
      <c r="B60" s="41">
        <v>1223395.3999999999</v>
      </c>
      <c r="C60" s="41">
        <v>3088130.3</v>
      </c>
      <c r="D60" s="37">
        <f t="shared" si="0"/>
        <v>40</v>
      </c>
      <c r="E60" s="13"/>
      <c r="F60" s="24"/>
      <c r="G60" s="24"/>
      <c r="H60" s="24"/>
      <c r="I60" s="24"/>
      <c r="J60" s="24"/>
      <c r="K60" s="24"/>
    </row>
    <row r="61" spans="1:12" x14ac:dyDescent="0.25">
      <c r="A61" s="20" t="s">
        <v>60</v>
      </c>
      <c r="B61" s="41">
        <v>8041815.4000000004</v>
      </c>
      <c r="C61" s="41">
        <v>14027726.4</v>
      </c>
      <c r="D61" s="37">
        <f t="shared" si="0"/>
        <v>57</v>
      </c>
      <c r="E61" s="13"/>
      <c r="F61" s="24"/>
      <c r="G61" s="24"/>
      <c r="H61" s="24"/>
      <c r="I61" s="24"/>
      <c r="J61" s="24"/>
      <c r="K61" s="24"/>
    </row>
    <row r="62" spans="1:12" x14ac:dyDescent="0.25">
      <c r="A62" s="20" t="s">
        <v>61</v>
      </c>
      <c r="B62" s="41">
        <v>101469.2</v>
      </c>
      <c r="C62" s="41">
        <v>498361.4</v>
      </c>
      <c r="D62" s="37">
        <f t="shared" si="0"/>
        <v>20</v>
      </c>
      <c r="E62" s="13"/>
      <c r="F62" s="24"/>
      <c r="G62" s="24"/>
      <c r="H62" s="24"/>
      <c r="I62" s="24"/>
      <c r="J62" s="24"/>
      <c r="K62" s="24"/>
    </row>
    <row r="63" spans="1:12" x14ac:dyDescent="0.25">
      <c r="A63" s="20" t="s">
        <v>62</v>
      </c>
      <c r="B63" s="41">
        <v>54843.4</v>
      </c>
      <c r="C63" s="41">
        <v>93514.7</v>
      </c>
      <c r="D63" s="37">
        <f t="shared" si="0"/>
        <v>59</v>
      </c>
      <c r="E63" s="13"/>
      <c r="F63" s="24"/>
      <c r="G63" s="24"/>
      <c r="H63" s="24"/>
      <c r="I63" s="24"/>
      <c r="J63" s="24"/>
      <c r="K63" s="24"/>
    </row>
    <row r="64" spans="1:12" x14ac:dyDescent="0.25">
      <c r="A64" s="20" t="s">
        <v>63</v>
      </c>
      <c r="B64" s="41">
        <v>589840.69999999995</v>
      </c>
      <c r="C64" s="41">
        <v>1304677.2</v>
      </c>
      <c r="D64" s="37">
        <f t="shared" si="0"/>
        <v>45</v>
      </c>
      <c r="E64" s="13"/>
      <c r="F64" s="24"/>
      <c r="G64" s="24"/>
      <c r="H64" s="24"/>
      <c r="I64" s="24"/>
      <c r="J64" s="24"/>
      <c r="K64" s="24"/>
    </row>
    <row r="65" spans="1:11" ht="33" customHeight="1" x14ac:dyDescent="0.25">
      <c r="A65" s="20" t="s">
        <v>64</v>
      </c>
      <c r="B65" s="41">
        <v>722766.1</v>
      </c>
      <c r="C65" s="41">
        <v>1426383</v>
      </c>
      <c r="D65" s="37">
        <f t="shared" si="0"/>
        <v>51</v>
      </c>
      <c r="E65" s="13"/>
      <c r="F65" s="24"/>
      <c r="G65" s="24"/>
      <c r="H65" s="24"/>
      <c r="I65" s="24"/>
      <c r="J65" s="24"/>
      <c r="K65" s="24"/>
    </row>
    <row r="66" spans="1:11" s="15" customFormat="1" x14ac:dyDescent="0.25">
      <c r="A66" s="7" t="s">
        <v>65</v>
      </c>
      <c r="B66" s="40">
        <f>SUM(B51:B54,B56:B65)</f>
        <v>20514218.699999999</v>
      </c>
      <c r="C66" s="40">
        <f>SUM(C51:C54,C56:C65)</f>
        <v>43716425.799999997</v>
      </c>
      <c r="D66" s="37">
        <f t="shared" si="0"/>
        <v>47</v>
      </c>
      <c r="E66" s="12"/>
      <c r="F66" s="28"/>
      <c r="G66" s="28"/>
      <c r="H66" s="28"/>
      <c r="I66" s="28"/>
      <c r="J66" s="14"/>
      <c r="K66" s="14"/>
    </row>
    <row r="67" spans="1:11" s="23" customFormat="1" ht="31.5" x14ac:dyDescent="0.25">
      <c r="A67" s="7" t="s">
        <v>47</v>
      </c>
      <c r="B67" s="40">
        <f>B5+B33-B66</f>
        <v>4283589.2</v>
      </c>
      <c r="C67" s="40">
        <f>C5+C33-C66</f>
        <v>705526.8</v>
      </c>
      <c r="D67" s="37"/>
      <c r="E67" s="12"/>
      <c r="F67" s="22"/>
      <c r="G67" s="22"/>
      <c r="H67" s="22"/>
      <c r="I67" s="22"/>
      <c r="J67" s="22"/>
    </row>
    <row r="68" spans="1:11" s="23" customFormat="1" ht="17.25" customHeight="1" x14ac:dyDescent="0.25">
      <c r="A68" s="7" t="s">
        <v>29</v>
      </c>
      <c r="B68" s="40">
        <f>B69+B70+B71+B72+B78</f>
        <v>-4283589.2</v>
      </c>
      <c r="C68" s="40">
        <f>C69+C70+C71+C72+C78</f>
        <v>-705526.8</v>
      </c>
      <c r="D68" s="37"/>
      <c r="E68" s="21"/>
      <c r="F68" s="22"/>
      <c r="G68" s="22"/>
      <c r="H68" s="22"/>
    </row>
    <row r="69" spans="1:11" ht="33.75" customHeight="1" x14ac:dyDescent="0.25">
      <c r="A69" s="16" t="s">
        <v>30</v>
      </c>
      <c r="B69" s="41">
        <v>-1550000</v>
      </c>
      <c r="C69" s="41">
        <v>450000</v>
      </c>
      <c r="D69" s="37"/>
      <c r="E69" s="19"/>
    </row>
    <row r="70" spans="1:11" ht="17.25" customHeight="1" x14ac:dyDescent="0.25">
      <c r="A70" s="16" t="s">
        <v>31</v>
      </c>
      <c r="B70" s="41">
        <v>-2820000</v>
      </c>
      <c r="C70" s="41">
        <v>1477673.8</v>
      </c>
      <c r="D70" s="37"/>
      <c r="E70" s="19"/>
    </row>
    <row r="71" spans="1:11" ht="31.5" x14ac:dyDescent="0.25">
      <c r="A71" s="16" t="s">
        <v>32</v>
      </c>
      <c r="B71" s="41">
        <v>-300125.5</v>
      </c>
      <c r="C71" s="41">
        <v>-2800125.5</v>
      </c>
      <c r="D71" s="37"/>
      <c r="E71" s="19"/>
    </row>
    <row r="72" spans="1:11" ht="31.5" x14ac:dyDescent="0.25">
      <c r="A72" s="16" t="s">
        <v>33</v>
      </c>
      <c r="B72" s="41">
        <v>1526059</v>
      </c>
      <c r="C72" s="41">
        <f>C73+C74+C76</f>
        <v>7006</v>
      </c>
      <c r="D72" s="37"/>
      <c r="E72" s="19"/>
    </row>
    <row r="73" spans="1:11" ht="31.5" x14ac:dyDescent="0.25">
      <c r="A73" s="18" t="s">
        <v>34</v>
      </c>
      <c r="B73" s="41">
        <v>1844</v>
      </c>
      <c r="C73" s="41">
        <v>59730</v>
      </c>
      <c r="D73" s="37"/>
      <c r="E73" s="19"/>
    </row>
    <row r="74" spans="1:11" ht="31.5" x14ac:dyDescent="0.25">
      <c r="A74" s="18" t="s">
        <v>44</v>
      </c>
      <c r="B74" s="41">
        <v>0</v>
      </c>
      <c r="C74" s="41">
        <v>-52724</v>
      </c>
      <c r="D74" s="37"/>
      <c r="E74" s="19"/>
    </row>
    <row r="75" spans="1:11" hidden="1" x14ac:dyDescent="0.25">
      <c r="A75" s="18" t="s">
        <v>41</v>
      </c>
      <c r="B75" s="41">
        <v>0</v>
      </c>
      <c r="C75" s="41">
        <v>0</v>
      </c>
      <c r="D75" s="37"/>
      <c r="E75" s="19"/>
    </row>
    <row r="76" spans="1:11" ht="31.5" x14ac:dyDescent="0.25">
      <c r="A76" s="18" t="s">
        <v>46</v>
      </c>
      <c r="B76" s="41">
        <v>98880.9</v>
      </c>
      <c r="C76" s="41">
        <v>0</v>
      </c>
      <c r="D76" s="37"/>
      <c r="E76" s="19"/>
    </row>
    <row r="77" spans="1:11" ht="31.5" x14ac:dyDescent="0.25">
      <c r="A77" s="18" t="s">
        <v>45</v>
      </c>
      <c r="B77" s="41">
        <v>1425334.1</v>
      </c>
      <c r="C77" s="41">
        <v>0</v>
      </c>
      <c r="D77" s="37"/>
      <c r="E77" s="19"/>
    </row>
    <row r="78" spans="1:11" ht="16.5" customHeight="1" x14ac:dyDescent="0.25">
      <c r="A78" s="20" t="s">
        <v>35</v>
      </c>
      <c r="B78" s="41">
        <v>-1139522.7</v>
      </c>
      <c r="C78" s="41">
        <v>159918.9</v>
      </c>
      <c r="D78" s="37"/>
      <c r="E78" s="19"/>
    </row>
    <row r="79" spans="1:11" x14ac:dyDescent="0.25">
      <c r="A79" s="29"/>
      <c r="B79" s="28">
        <f>B67+B68</f>
        <v>0</v>
      </c>
      <c r="C79" s="28">
        <f>C67+C68</f>
        <v>0</v>
      </c>
    </row>
    <row r="80" spans="1:11" ht="10.5" customHeight="1" x14ac:dyDescent="0.25">
      <c r="A80" s="30"/>
      <c r="B80" s="38"/>
      <c r="C80" s="35"/>
    </row>
    <row r="81" spans="1:3" x14ac:dyDescent="0.25">
      <c r="B81" s="39"/>
      <c r="C81" s="36"/>
    </row>
    <row r="82" spans="1:3" x14ac:dyDescent="0.25">
      <c r="B82" s="39"/>
      <c r="C82" s="36"/>
    </row>
    <row r="83" spans="1:3" ht="12.75" customHeight="1" x14ac:dyDescent="0.25">
      <c r="A83" s="30"/>
      <c r="B83" s="38"/>
      <c r="C83" s="35"/>
    </row>
    <row r="84" spans="1:3" ht="11.25" customHeight="1" x14ac:dyDescent="0.25">
      <c r="B84" s="32"/>
      <c r="C84" s="32"/>
    </row>
    <row r="85" spans="1:3" x14ac:dyDescent="0.25">
      <c r="B85" s="27"/>
      <c r="C85" s="27"/>
    </row>
    <row r="86" spans="1:3" x14ac:dyDescent="0.25">
      <c r="B86" s="28"/>
      <c r="C86" s="28"/>
    </row>
    <row r="89" spans="1:3" ht="11.25" customHeight="1" x14ac:dyDescent="0.25">
      <c r="A89" s="30"/>
      <c r="B89" s="38"/>
      <c r="C89" s="35"/>
    </row>
    <row r="90" spans="1:3" x14ac:dyDescent="0.25">
      <c r="A90" s="29"/>
      <c r="B90" s="28"/>
      <c r="C90" s="28"/>
    </row>
  </sheetData>
  <customSheetViews>
    <customSheetView guid="{BD55AB36-084D-4C26-BAB2-482C24A270C8}" showPageBreaks="1" printArea="1" hiddenRows="1" state="hidden" view="pageBreakPreview">
      <pane xSplit="1" ySplit="3" topLeftCell="B23" activePane="bottomRight" state="frozen"/>
      <selection pane="bottomRight" activeCell="A25" sqref="A25"/>
      <rowBreaks count="2" manualBreakCount="2">
        <brk id="32" max="16383" man="1"/>
        <brk id="67" max="16383" man="1"/>
      </rowBreaks>
      <pageMargins left="0.62992125984251968" right="0.15748031496062992" top="0.59055118110236227" bottom="0.55118110236220474" header="0.15748031496062992" footer="0.15748031496062992"/>
      <pageSetup paperSize="9" fitToHeight="0" orientation="portrait" r:id="rId1"/>
      <headerFooter alignWithMargins="0"/>
    </customSheetView>
    <customSheetView guid="{34D410AD-58B4-4435-9ED5-15CA72283006}" showPageBreaks="1" printArea="1" hiddenRows="1" state="hidden" view="pageBreakPreview">
      <pane xSplit="1" ySplit="3" topLeftCell="B23" activePane="bottomRight" state="frozen"/>
      <selection pane="bottomRight" activeCell="A25" sqref="A25"/>
      <rowBreaks count="2" manualBreakCount="2">
        <brk id="32" max="16383" man="1"/>
        <brk id="67" max="16383" man="1"/>
      </rowBreaks>
      <pageMargins left="0.62992125984251968" right="0.15748031496062992" top="0.59055118110236227" bottom="0.55118110236220474" header="0.15748031496062992" footer="0.15748031496062992"/>
      <pageSetup paperSize="9" fitToHeight="0" orientation="portrait" r:id="rId2"/>
      <headerFooter alignWithMargins="0"/>
    </customSheetView>
    <customSheetView guid="{0E91F95C-B82B-4A7A-9432-6E8B0967BE54}" showPageBreaks="1" printArea="1" hiddenRows="1" state="hidden" view="pageBreakPreview">
      <pane xSplit="1" ySplit="3" topLeftCell="B23" activePane="bottomRight" state="frozen"/>
      <selection pane="bottomRight" activeCell="A25" sqref="A25"/>
      <rowBreaks count="2" manualBreakCount="2">
        <brk id="32" max="16383" man="1"/>
        <brk id="67" max="16383" man="1"/>
      </rowBreaks>
      <pageMargins left="0.62992125984251968" right="0.15748031496062992" top="0.59055118110236227" bottom="0.55118110236220474" header="0.15748031496062992" footer="0.15748031496062992"/>
      <pageSetup paperSize="9" fitToHeight="0" orientation="portrait" r:id="rId3"/>
      <headerFooter alignWithMargins="0"/>
    </customSheetView>
  </customSheetViews>
  <mergeCells count="1">
    <mergeCell ref="A1:C1"/>
  </mergeCells>
  <pageMargins left="0.62992125984251968" right="0.15748031496062992" top="0.59055118110236227" bottom="0.55118110236220474" header="0.15748031496062992" footer="0.15748031496062992"/>
  <pageSetup paperSize="9" fitToHeight="0" orientation="portrait" r:id="rId4"/>
  <headerFooter alignWithMargins="0"/>
  <rowBreaks count="2" manualBreakCount="2">
    <brk id="32" max="16383" man="1"/>
    <brk id="6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view="pageBreakPreview" zoomScaleSheetLayoutView="100" workbookViewId="0">
      <pane xSplit="1" ySplit="3" topLeftCell="B46" activePane="bottomRight" state="frozen"/>
      <selection pane="topRight" activeCell="B1" sqref="B1"/>
      <selection pane="bottomLeft" activeCell="A4" sqref="A4"/>
      <selection pane="bottomRight" activeCell="A25" sqref="A25"/>
    </sheetView>
  </sheetViews>
  <sheetFormatPr defaultColWidth="9.140625" defaultRowHeight="15.75" x14ac:dyDescent="0.25"/>
  <cols>
    <col min="1" max="1" width="64.42578125" style="31" customWidth="1"/>
    <col min="2" max="2" width="14.7109375" style="14" customWidth="1"/>
    <col min="3" max="3" width="14.140625" style="14" customWidth="1"/>
    <col min="4" max="4" width="13.85546875" style="3" bestFit="1" customWidth="1"/>
    <col min="5" max="5" width="14.140625" style="3" bestFit="1" customWidth="1"/>
    <col min="6" max="6" width="24.7109375" style="3" customWidth="1"/>
    <col min="7" max="7" width="10.140625" style="3" customWidth="1"/>
    <col min="8" max="16384" width="9.140625" style="3"/>
  </cols>
  <sheetData>
    <row r="1" spans="1:12" s="1" customFormat="1" ht="36" customHeight="1" x14ac:dyDescent="0.25">
      <c r="A1" s="151" t="s">
        <v>82</v>
      </c>
      <c r="B1" s="151"/>
      <c r="C1" s="151"/>
    </row>
    <row r="2" spans="1:12" ht="13.5" customHeight="1" x14ac:dyDescent="0.25">
      <c r="A2" s="2"/>
      <c r="B2" s="33"/>
      <c r="C2" s="33" t="s">
        <v>48</v>
      </c>
    </row>
    <row r="3" spans="1:12" s="6" customFormat="1" ht="48.75" customHeight="1" x14ac:dyDescent="0.2">
      <c r="A3" s="4" t="s">
        <v>0</v>
      </c>
      <c r="B3" s="34" t="s">
        <v>83</v>
      </c>
      <c r="C3" s="34" t="s">
        <v>67</v>
      </c>
      <c r="D3" s="5"/>
    </row>
    <row r="4" spans="1:12" s="11" customFormat="1" x14ac:dyDescent="0.2">
      <c r="A4" s="7" t="s">
        <v>39</v>
      </c>
      <c r="B4" s="8"/>
      <c r="C4" s="8"/>
      <c r="D4" s="9"/>
      <c r="E4" s="10"/>
    </row>
    <row r="5" spans="1:12" s="15" customFormat="1" x14ac:dyDescent="0.25">
      <c r="A5" s="7" t="s">
        <v>1</v>
      </c>
      <c r="B5" s="40">
        <f>B6+B9+B14+B17+B21+B24+B26+B27+B28+B30+B31</f>
        <v>17159849631.700001</v>
      </c>
      <c r="C5" s="40">
        <f>C6+C9+C14+C17+C21+C24+C26+C27+C28+C30+C31+C32+C25+C29</f>
        <v>21960359400</v>
      </c>
      <c r="D5" s="37">
        <f>B5*100/C5</f>
        <v>78</v>
      </c>
      <c r="E5" s="12"/>
      <c r="F5" s="40">
        <f>F6+F9+F14+F17+F21+F24+F26+F27+F28+F30+F31</f>
        <v>17159849631.700001</v>
      </c>
      <c r="G5" s="14"/>
      <c r="H5" s="14"/>
      <c r="I5" s="14"/>
      <c r="J5" s="14"/>
      <c r="K5" s="14"/>
      <c r="L5" s="14"/>
    </row>
    <row r="6" spans="1:12" x14ac:dyDescent="0.25">
      <c r="A6" s="16" t="s">
        <v>2</v>
      </c>
      <c r="B6" s="41">
        <f>B7+B8</f>
        <v>10633392291.799999</v>
      </c>
      <c r="C6" s="41">
        <f>C7+C8</f>
        <v>13051908000</v>
      </c>
      <c r="D6" s="37">
        <f t="shared" ref="D6:D66" si="0">B6*100/C6</f>
        <v>81</v>
      </c>
      <c r="E6" s="17"/>
      <c r="F6" s="41">
        <f>F7+F8</f>
        <v>10633392291.799999</v>
      </c>
    </row>
    <row r="7" spans="1:12" x14ac:dyDescent="0.25">
      <c r="A7" s="18" t="s">
        <v>3</v>
      </c>
      <c r="B7" s="48">
        <v>5274494026.8199997</v>
      </c>
      <c r="C7" s="47">
        <v>4828801000</v>
      </c>
      <c r="D7" s="37">
        <f t="shared" si="0"/>
        <v>109</v>
      </c>
      <c r="E7" s="19"/>
      <c r="F7" s="48">
        <v>5274494026.8199997</v>
      </c>
    </row>
    <row r="8" spans="1:12" x14ac:dyDescent="0.25">
      <c r="A8" s="18" t="s">
        <v>4</v>
      </c>
      <c r="B8" s="48">
        <v>5358898264.96</v>
      </c>
      <c r="C8" s="47">
        <v>8223107000</v>
      </c>
      <c r="D8" s="37">
        <f t="shared" si="0"/>
        <v>65</v>
      </c>
      <c r="E8" s="19"/>
      <c r="F8" s="48">
        <v>5358898264.96</v>
      </c>
    </row>
    <row r="9" spans="1:12" ht="34.5" customHeight="1" x14ac:dyDescent="0.25">
      <c r="A9" s="16" t="s">
        <v>5</v>
      </c>
      <c r="B9" s="41">
        <f>B10</f>
        <v>1685422278</v>
      </c>
      <c r="C9" s="41">
        <f>C10</f>
        <v>2272666000</v>
      </c>
      <c r="D9" s="37">
        <f t="shared" si="0"/>
        <v>74</v>
      </c>
      <c r="E9" s="19"/>
      <c r="F9" s="41">
        <f>F10</f>
        <v>1685422278</v>
      </c>
    </row>
    <row r="10" spans="1:12" x14ac:dyDescent="0.25">
      <c r="A10" s="18" t="s">
        <v>6</v>
      </c>
      <c r="B10" s="41">
        <f>B11+B12</f>
        <v>1685422278</v>
      </c>
      <c r="C10" s="41">
        <f>C11+C12</f>
        <v>2272666000</v>
      </c>
      <c r="D10" s="37">
        <f t="shared" si="0"/>
        <v>74</v>
      </c>
      <c r="E10" s="19"/>
      <c r="F10" s="41">
        <f>F11+F12</f>
        <v>1685422278</v>
      </c>
    </row>
    <row r="11" spans="1:12" x14ac:dyDescent="0.25">
      <c r="A11" s="18" t="s">
        <v>43</v>
      </c>
      <c r="B11" s="47">
        <v>424908000</v>
      </c>
      <c r="C11" s="47">
        <v>424908000</v>
      </c>
      <c r="D11" s="37">
        <f t="shared" si="0"/>
        <v>100</v>
      </c>
      <c r="E11" s="19"/>
      <c r="F11" s="47">
        <v>424908000</v>
      </c>
    </row>
    <row r="12" spans="1:12" ht="32.25" customHeight="1" x14ac:dyDescent="0.25">
      <c r="A12" s="18" t="s">
        <v>71</v>
      </c>
      <c r="B12" s="41">
        <v>1260514278</v>
      </c>
      <c r="C12" s="41">
        <v>1847758000</v>
      </c>
      <c r="D12" s="37">
        <f t="shared" si="0"/>
        <v>68</v>
      </c>
      <c r="E12" s="19"/>
      <c r="F12" s="41">
        <v>1260514278</v>
      </c>
    </row>
    <row r="13" spans="1:12" ht="31.5" hidden="1" x14ac:dyDescent="0.25">
      <c r="A13" s="18" t="s">
        <v>68</v>
      </c>
      <c r="B13" s="42"/>
      <c r="C13" s="41">
        <v>-436</v>
      </c>
      <c r="D13" s="37">
        <f t="shared" si="0"/>
        <v>0</v>
      </c>
      <c r="E13" s="19"/>
      <c r="F13" s="42"/>
    </row>
    <row r="14" spans="1:12" x14ac:dyDescent="0.25">
      <c r="A14" s="16" t="s">
        <v>7</v>
      </c>
      <c r="B14" s="41">
        <f>B15</f>
        <v>1237257339.5</v>
      </c>
      <c r="C14" s="41">
        <f>C15</f>
        <v>1496800000</v>
      </c>
      <c r="D14" s="37">
        <f t="shared" si="0"/>
        <v>83</v>
      </c>
      <c r="E14" s="19"/>
      <c r="F14" s="41">
        <f>F15</f>
        <v>1237257339.5</v>
      </c>
    </row>
    <row r="15" spans="1:12" ht="31.5" x14ac:dyDescent="0.25">
      <c r="A15" s="18" t="s">
        <v>36</v>
      </c>
      <c r="B15" s="48">
        <v>1237257339.54</v>
      </c>
      <c r="C15" s="47">
        <v>1496800000</v>
      </c>
      <c r="D15" s="37">
        <f t="shared" si="0"/>
        <v>83</v>
      </c>
      <c r="E15" s="19"/>
      <c r="F15" s="48">
        <v>1237257339.54</v>
      </c>
    </row>
    <row r="16" spans="1:12" hidden="1" x14ac:dyDescent="0.25">
      <c r="A16" s="18" t="s">
        <v>8</v>
      </c>
      <c r="B16" s="41">
        <v>0</v>
      </c>
      <c r="C16" s="41">
        <v>0</v>
      </c>
      <c r="D16" s="37" t="e">
        <f t="shared" si="0"/>
        <v>#DIV/0!</v>
      </c>
      <c r="E16" s="19"/>
      <c r="F16" s="41">
        <v>0</v>
      </c>
    </row>
    <row r="17" spans="1:6" x14ac:dyDescent="0.25">
      <c r="A17" s="16" t="s">
        <v>9</v>
      </c>
      <c r="B17" s="41">
        <f>B18+B19+B20</f>
        <v>2050507984.9000001</v>
      </c>
      <c r="C17" s="41">
        <f>C18+C19+C20</f>
        <v>3040130000</v>
      </c>
      <c r="D17" s="37">
        <f t="shared" si="0"/>
        <v>67</v>
      </c>
      <c r="E17" s="19"/>
      <c r="F17" s="41">
        <f>F18+F19+F20</f>
        <v>2050507984.9000001</v>
      </c>
    </row>
    <row r="18" spans="1:6" x14ac:dyDescent="0.25">
      <c r="A18" s="18" t="s">
        <v>10</v>
      </c>
      <c r="B18" s="48">
        <v>1738248288.1900001</v>
      </c>
      <c r="C18" s="47">
        <v>2330130000</v>
      </c>
      <c r="D18" s="37">
        <f t="shared" si="0"/>
        <v>75</v>
      </c>
      <c r="E18" s="19"/>
      <c r="F18" s="48">
        <v>1738248288.1900001</v>
      </c>
    </row>
    <row r="19" spans="1:6" x14ac:dyDescent="0.25">
      <c r="A19" s="18" t="s">
        <v>11</v>
      </c>
      <c r="B19" s="48">
        <v>311374687.06</v>
      </c>
      <c r="C19" s="47">
        <v>708500000</v>
      </c>
      <c r="D19" s="37">
        <f t="shared" si="0"/>
        <v>44</v>
      </c>
      <c r="E19" s="19"/>
      <c r="F19" s="48">
        <v>311374687.06</v>
      </c>
    </row>
    <row r="20" spans="1:6" x14ac:dyDescent="0.25">
      <c r="A20" s="18" t="s">
        <v>12</v>
      </c>
      <c r="B20" s="48">
        <v>885009.67</v>
      </c>
      <c r="C20" s="47">
        <v>1500000</v>
      </c>
      <c r="D20" s="37">
        <f t="shared" si="0"/>
        <v>59</v>
      </c>
      <c r="E20" s="19"/>
      <c r="F20" s="48">
        <v>885009.67</v>
      </c>
    </row>
    <row r="21" spans="1:6" ht="31.5" x14ac:dyDescent="0.25">
      <c r="A21" s="16" t="s">
        <v>13</v>
      </c>
      <c r="B21" s="41">
        <f>B22+B23</f>
        <v>425079643.30000001</v>
      </c>
      <c r="C21" s="41">
        <f>C22+C23</f>
        <v>599920000</v>
      </c>
      <c r="D21" s="37">
        <f t="shared" si="0"/>
        <v>71</v>
      </c>
      <c r="E21" s="19"/>
      <c r="F21" s="41">
        <f>F22+F23</f>
        <v>425079643.30000001</v>
      </c>
    </row>
    <row r="22" spans="1:6" x14ac:dyDescent="0.25">
      <c r="A22" s="18" t="s">
        <v>14</v>
      </c>
      <c r="B22" s="48">
        <v>402131093.74000001</v>
      </c>
      <c r="C22" s="47">
        <v>555000000</v>
      </c>
      <c r="D22" s="37">
        <f t="shared" si="0"/>
        <v>72</v>
      </c>
      <c r="E22" s="19"/>
      <c r="F22" s="48">
        <v>402131093.74000001</v>
      </c>
    </row>
    <row r="23" spans="1:6" ht="31.5" x14ac:dyDescent="0.25">
      <c r="A23" s="18" t="s">
        <v>15</v>
      </c>
      <c r="B23" s="48">
        <v>22948549.510000002</v>
      </c>
      <c r="C23" s="47">
        <v>44920000</v>
      </c>
      <c r="D23" s="37">
        <f t="shared" si="0"/>
        <v>51</v>
      </c>
      <c r="E23" s="19"/>
      <c r="F23" s="48">
        <v>22948549.510000002</v>
      </c>
    </row>
    <row r="24" spans="1:6" s="15" customFormat="1" x14ac:dyDescent="0.25">
      <c r="A24" s="20" t="s">
        <v>79</v>
      </c>
      <c r="B24" s="48">
        <v>74958832.670000002</v>
      </c>
      <c r="C24" s="47">
        <v>122100000</v>
      </c>
      <c r="D24" s="37">
        <f t="shared" si="0"/>
        <v>61</v>
      </c>
      <c r="E24" s="19"/>
      <c r="F24" s="48">
        <v>74958832.670000002</v>
      </c>
    </row>
    <row r="25" spans="1:6" ht="47.25" x14ac:dyDescent="0.25">
      <c r="A25" s="16" t="s">
        <v>16</v>
      </c>
      <c r="B25" s="48">
        <v>8817.0300000000007</v>
      </c>
      <c r="C25" s="45"/>
      <c r="D25" s="37"/>
      <c r="E25" s="19"/>
      <c r="F25" s="48">
        <v>8817.0300000000007</v>
      </c>
    </row>
    <row r="26" spans="1:6" ht="47.25" x14ac:dyDescent="0.25">
      <c r="A26" s="16" t="s">
        <v>17</v>
      </c>
      <c r="B26" s="48">
        <v>99504598.099999994</v>
      </c>
      <c r="C26" s="47">
        <v>122988000</v>
      </c>
      <c r="D26" s="37">
        <f t="shared" si="0"/>
        <v>81</v>
      </c>
      <c r="E26" s="19"/>
      <c r="F26" s="48">
        <v>99504598.099999994</v>
      </c>
    </row>
    <row r="27" spans="1:6" ht="18" customHeight="1" x14ac:dyDescent="0.25">
      <c r="A27" s="16" t="s">
        <v>18</v>
      </c>
      <c r="B27" s="48">
        <v>671221039.50999999</v>
      </c>
      <c r="C27" s="47">
        <v>814073000</v>
      </c>
      <c r="D27" s="37">
        <f t="shared" si="0"/>
        <v>82</v>
      </c>
      <c r="E27" s="19"/>
      <c r="F27" s="48">
        <v>671221039.50999999</v>
      </c>
    </row>
    <row r="28" spans="1:6" s="15" customFormat="1" ht="31.5" x14ac:dyDescent="0.25">
      <c r="A28" s="20" t="s">
        <v>76</v>
      </c>
      <c r="B28" s="48">
        <v>136711379.81999999</v>
      </c>
      <c r="C28" s="47">
        <v>83235400</v>
      </c>
      <c r="D28" s="37">
        <f t="shared" si="0"/>
        <v>164</v>
      </c>
      <c r="E28" s="19"/>
      <c r="F28" s="48">
        <v>136711379.81999999</v>
      </c>
    </row>
    <row r="29" spans="1:6" s="15" customFormat="1" ht="31.5" x14ac:dyDescent="0.25">
      <c r="A29" s="20" t="s">
        <v>78</v>
      </c>
      <c r="B29" s="48">
        <v>21531431.489999998</v>
      </c>
      <c r="C29" s="47">
        <v>111339000</v>
      </c>
      <c r="D29" s="37">
        <f t="shared" si="0"/>
        <v>19</v>
      </c>
      <c r="E29" s="19"/>
      <c r="F29" s="48">
        <v>21531431.489999998</v>
      </c>
    </row>
    <row r="30" spans="1:6" x14ac:dyDescent="0.25">
      <c r="A30" s="16" t="s">
        <v>19</v>
      </c>
      <c r="B30" s="48">
        <v>584990</v>
      </c>
      <c r="C30" s="47">
        <v>1200000</v>
      </c>
      <c r="D30" s="37">
        <f t="shared" si="0"/>
        <v>49</v>
      </c>
      <c r="E30" s="19"/>
      <c r="F30" s="48">
        <v>584990</v>
      </c>
    </row>
    <row r="31" spans="1:6" x14ac:dyDescent="0.25">
      <c r="A31" s="16" t="s">
        <v>20</v>
      </c>
      <c r="B31" s="48">
        <v>145209254.12</v>
      </c>
      <c r="C31" s="47">
        <v>244000000</v>
      </c>
      <c r="D31" s="37">
        <f t="shared" si="0"/>
        <v>60</v>
      </c>
      <c r="E31" s="19"/>
      <c r="F31" s="48">
        <v>145209254.12</v>
      </c>
    </row>
    <row r="32" spans="1:6" x14ac:dyDescent="0.25">
      <c r="A32" s="16" t="s">
        <v>77</v>
      </c>
      <c r="B32" s="48">
        <v>19958670.800000001</v>
      </c>
      <c r="C32" s="45"/>
      <c r="D32" s="37" t="e">
        <f t="shared" si="0"/>
        <v>#DIV/0!</v>
      </c>
      <c r="E32" s="19"/>
      <c r="F32" s="48">
        <v>19958670.800000001</v>
      </c>
    </row>
    <row r="33" spans="1:12" s="23" customFormat="1" x14ac:dyDescent="0.25">
      <c r="A33" s="7" t="s">
        <v>22</v>
      </c>
      <c r="B33" s="40">
        <f>B34+B43+B46+B47</f>
        <v>11749112567.799999</v>
      </c>
      <c r="C33" s="40">
        <f>C34+C43+C46+C47</f>
        <v>20883916905.099998</v>
      </c>
      <c r="D33" s="37">
        <f t="shared" si="0"/>
        <v>56</v>
      </c>
      <c r="E33" s="12"/>
      <c r="F33" s="40">
        <f>F34+F43+F46+F47</f>
        <v>11749112567.799999</v>
      </c>
      <c r="G33" s="22"/>
      <c r="H33" s="22"/>
      <c r="I33" s="22"/>
      <c r="J33" s="22"/>
      <c r="K33" s="22"/>
      <c r="L33" s="22"/>
    </row>
    <row r="34" spans="1:12" ht="33" customHeight="1" x14ac:dyDescent="0.25">
      <c r="A34" s="16" t="s">
        <v>37</v>
      </c>
      <c r="B34" s="41">
        <f>B35+B39+B40+B41</f>
        <v>11188536145.299999</v>
      </c>
      <c r="C34" s="41">
        <f>C35+C39+C40+C41</f>
        <v>20089875110</v>
      </c>
      <c r="D34" s="37">
        <f t="shared" si="0"/>
        <v>56</v>
      </c>
      <c r="E34" s="13"/>
      <c r="F34" s="41">
        <f>F35+F39+F40+F41</f>
        <v>11188536145.299999</v>
      </c>
      <c r="G34" s="24"/>
      <c r="H34" s="24"/>
    </row>
    <row r="35" spans="1:12" ht="31.5" x14ac:dyDescent="0.25">
      <c r="A35" s="16" t="s">
        <v>23</v>
      </c>
      <c r="B35" s="41">
        <f>B36+B37+B38</f>
        <v>8982151000</v>
      </c>
      <c r="C35" s="41">
        <f>C36+C37+C38</f>
        <v>13084604400</v>
      </c>
      <c r="D35" s="37">
        <f t="shared" si="0"/>
        <v>69</v>
      </c>
      <c r="E35" s="19"/>
      <c r="F35" s="41">
        <f>F36+F37+F38</f>
        <v>8982151000</v>
      </c>
    </row>
    <row r="36" spans="1:12" x14ac:dyDescent="0.25">
      <c r="A36" s="18" t="s">
        <v>69</v>
      </c>
      <c r="B36" s="48">
        <v>5695028000</v>
      </c>
      <c r="C36" s="47">
        <v>8542541400</v>
      </c>
      <c r="D36" s="37">
        <f t="shared" si="0"/>
        <v>67</v>
      </c>
      <c r="E36" s="19"/>
      <c r="F36" s="48">
        <v>5695028000</v>
      </c>
    </row>
    <row r="37" spans="1:12" ht="31.5" x14ac:dyDescent="0.25">
      <c r="A37" s="18" t="s">
        <v>70</v>
      </c>
      <c r="B37" s="48">
        <v>777235000</v>
      </c>
      <c r="C37" s="47">
        <v>777235000</v>
      </c>
      <c r="D37" s="37">
        <f t="shared" si="0"/>
        <v>100</v>
      </c>
      <c r="E37" s="19"/>
      <c r="F37" s="48">
        <v>777235000</v>
      </c>
    </row>
    <row r="38" spans="1:12" ht="47.25" x14ac:dyDescent="0.25">
      <c r="A38" s="18" t="s">
        <v>66</v>
      </c>
      <c r="B38" s="48">
        <v>2509888000</v>
      </c>
      <c r="C38" s="47">
        <v>3764828000</v>
      </c>
      <c r="D38" s="37">
        <f t="shared" si="0"/>
        <v>67</v>
      </c>
      <c r="E38" s="19"/>
      <c r="F38" s="48">
        <v>2509888000</v>
      </c>
    </row>
    <row r="39" spans="1:12" ht="31.5" x14ac:dyDescent="0.25">
      <c r="A39" s="18" t="s">
        <v>24</v>
      </c>
      <c r="B39" s="48">
        <v>461549766.41000003</v>
      </c>
      <c r="C39" s="47">
        <v>4228319510</v>
      </c>
      <c r="D39" s="37">
        <f t="shared" si="0"/>
        <v>11</v>
      </c>
      <c r="E39" s="19"/>
      <c r="F39" s="48">
        <v>461549766.41000003</v>
      </c>
    </row>
    <row r="40" spans="1:12" ht="31.5" x14ac:dyDescent="0.25">
      <c r="A40" s="18" t="s">
        <v>25</v>
      </c>
      <c r="B40" s="48">
        <v>1547393560.0699999</v>
      </c>
      <c r="C40" s="47">
        <v>2326233900</v>
      </c>
      <c r="D40" s="37">
        <f t="shared" si="0"/>
        <v>67</v>
      </c>
      <c r="E40" s="19"/>
      <c r="F40" s="48">
        <v>1547393560.0699999</v>
      </c>
    </row>
    <row r="41" spans="1:12" x14ac:dyDescent="0.25">
      <c r="A41" s="18" t="s">
        <v>26</v>
      </c>
      <c r="B41" s="48">
        <v>197441818.78</v>
      </c>
      <c r="C41" s="47">
        <v>450717300</v>
      </c>
      <c r="D41" s="37">
        <f t="shared" si="0"/>
        <v>44</v>
      </c>
      <c r="E41" s="19"/>
      <c r="F41" s="48">
        <v>197441818.78</v>
      </c>
    </row>
    <row r="42" spans="1:12" ht="16.5" customHeight="1" x14ac:dyDescent="0.25">
      <c r="A42" s="18" t="s">
        <v>27</v>
      </c>
      <c r="B42" s="41"/>
      <c r="C42" s="41"/>
      <c r="D42" s="37" t="e">
        <f t="shared" si="0"/>
        <v>#DIV/0!</v>
      </c>
      <c r="E42" s="19"/>
      <c r="F42" s="41"/>
    </row>
    <row r="43" spans="1:12" ht="31.5" x14ac:dyDescent="0.25">
      <c r="A43" s="16" t="s">
        <v>28</v>
      </c>
      <c r="B43" s="48">
        <v>609781090.59000003</v>
      </c>
      <c r="C43" s="47">
        <v>838819690.50999999</v>
      </c>
      <c r="D43" s="37">
        <f t="shared" si="0"/>
        <v>73</v>
      </c>
      <c r="E43" s="19"/>
      <c r="F43" s="48">
        <v>609781090.59000003</v>
      </c>
    </row>
    <row r="44" spans="1:12" ht="31.5" hidden="1" x14ac:dyDescent="0.25">
      <c r="A44" s="16" t="s">
        <v>38</v>
      </c>
      <c r="B44" s="41"/>
      <c r="C44" s="41"/>
      <c r="D44" s="37" t="e">
        <f t="shared" si="0"/>
        <v>#DIV/0!</v>
      </c>
      <c r="E44" s="19"/>
      <c r="F44" s="41"/>
    </row>
    <row r="45" spans="1:12" hidden="1" x14ac:dyDescent="0.25">
      <c r="A45" s="16" t="s">
        <v>42</v>
      </c>
      <c r="B45" s="41"/>
      <c r="C45" s="41"/>
      <c r="D45" s="37" t="e">
        <f t="shared" si="0"/>
        <v>#DIV/0!</v>
      </c>
      <c r="E45" s="19"/>
      <c r="F45" s="41"/>
    </row>
    <row r="46" spans="1:12" x14ac:dyDescent="0.25">
      <c r="A46" s="16" t="s">
        <v>72</v>
      </c>
      <c r="B46" s="48">
        <v>4284957.5599999996</v>
      </c>
      <c r="C46" s="47">
        <v>8139204.5999999996</v>
      </c>
      <c r="D46" s="37">
        <f t="shared" si="0"/>
        <v>53</v>
      </c>
      <c r="E46" s="19"/>
      <c r="F46" s="48">
        <v>4284957.5599999996</v>
      </c>
    </row>
    <row r="47" spans="1:12" s="26" customFormat="1" ht="63" x14ac:dyDescent="0.25">
      <c r="A47" s="20" t="s">
        <v>73</v>
      </c>
      <c r="B47" s="48">
        <f>58733428.11-112223053.75</f>
        <v>-53489625.640000001</v>
      </c>
      <c r="C47" s="47">
        <v>-52917100</v>
      </c>
      <c r="D47" s="37">
        <f t="shared" si="0"/>
        <v>101</v>
      </c>
      <c r="E47" s="25"/>
      <c r="F47" s="48">
        <f>58733428.11-112223053.75</f>
        <v>-53489625.640000001</v>
      </c>
    </row>
    <row r="48" spans="1:12" s="26" customFormat="1" ht="31.5" hidden="1" x14ac:dyDescent="0.25">
      <c r="A48" s="20" t="s">
        <v>21</v>
      </c>
      <c r="B48" s="41"/>
      <c r="C48" s="41"/>
      <c r="D48" s="37" t="e">
        <f t="shared" si="0"/>
        <v>#DIV/0!</v>
      </c>
      <c r="E48" s="25"/>
      <c r="F48" s="41"/>
    </row>
    <row r="49" spans="1:12" s="23" customFormat="1" x14ac:dyDescent="0.25">
      <c r="A49" s="7" t="s">
        <v>49</v>
      </c>
      <c r="B49" s="43">
        <f>B5+B33</f>
        <v>28908962199.5</v>
      </c>
      <c r="C49" s="43">
        <f>C5+C33</f>
        <v>42844276305.099998</v>
      </c>
      <c r="D49" s="37">
        <f t="shared" si="0"/>
        <v>67</v>
      </c>
      <c r="E49" s="12"/>
      <c r="F49" s="43">
        <f>F5+F33</f>
        <v>28908962199.5</v>
      </c>
      <c r="G49" s="22"/>
      <c r="H49" s="22"/>
      <c r="I49" s="22"/>
      <c r="J49" s="22"/>
      <c r="K49" s="22"/>
      <c r="L49" s="22"/>
    </row>
    <row r="50" spans="1:12" s="23" customFormat="1" x14ac:dyDescent="0.25">
      <c r="A50" s="7" t="s">
        <v>40</v>
      </c>
      <c r="B50" s="44"/>
      <c r="C50" s="41"/>
      <c r="D50" s="37" t="e">
        <f t="shared" si="0"/>
        <v>#DIV/0!</v>
      </c>
      <c r="E50" s="25"/>
      <c r="F50" s="44"/>
    </row>
    <row r="51" spans="1:12" x14ac:dyDescent="0.25">
      <c r="A51" s="20" t="s">
        <v>50</v>
      </c>
      <c r="B51" s="49">
        <v>896995128.30999994</v>
      </c>
      <c r="C51" s="49">
        <v>1825307557.78</v>
      </c>
      <c r="D51" s="49"/>
      <c r="E51" s="49">
        <v>1870085414.77</v>
      </c>
      <c r="F51" s="49">
        <v>896995128.30999994</v>
      </c>
      <c r="G51" s="49">
        <v>896995128.30999994</v>
      </c>
      <c r="H51" s="24"/>
      <c r="I51" s="24"/>
      <c r="J51" s="24"/>
      <c r="K51" s="24"/>
    </row>
    <row r="52" spans="1:12" x14ac:dyDescent="0.25">
      <c r="A52" s="20" t="s">
        <v>51</v>
      </c>
      <c r="B52" s="49">
        <v>9470017.6099999994</v>
      </c>
      <c r="C52" s="49">
        <v>18815500</v>
      </c>
      <c r="D52" s="49"/>
      <c r="E52" s="49">
        <v>8410562.9399999995</v>
      </c>
      <c r="F52" s="49">
        <v>9470017.6099999994</v>
      </c>
      <c r="G52" s="49">
        <v>9470017.6099999994</v>
      </c>
      <c r="H52" s="24"/>
      <c r="I52" s="24"/>
      <c r="J52" s="24"/>
      <c r="K52" s="24"/>
    </row>
    <row r="53" spans="1:12" ht="17.25" customHeight="1" x14ac:dyDescent="0.25">
      <c r="A53" s="20" t="s">
        <v>52</v>
      </c>
      <c r="B53" s="49">
        <v>461296688.99000001</v>
      </c>
      <c r="C53" s="49">
        <v>790785322.17999995</v>
      </c>
      <c r="D53" s="49"/>
      <c r="E53" s="49">
        <v>475040164.93000001</v>
      </c>
      <c r="F53" s="49">
        <v>461296688.99000001</v>
      </c>
      <c r="G53" s="49">
        <v>461296688.99000001</v>
      </c>
      <c r="H53" s="24"/>
      <c r="I53" s="24"/>
      <c r="J53" s="24"/>
      <c r="K53" s="24"/>
    </row>
    <row r="54" spans="1:12" x14ac:dyDescent="0.25">
      <c r="A54" s="20" t="s">
        <v>53</v>
      </c>
      <c r="B54" s="49">
        <v>2708222484.3800001</v>
      </c>
      <c r="C54" s="49">
        <v>6711239740.9399996</v>
      </c>
      <c r="D54" s="49"/>
      <c r="E54" s="49">
        <v>3313458233.4000001</v>
      </c>
      <c r="F54" s="49">
        <v>2708222484.3800001</v>
      </c>
      <c r="G54" s="49">
        <v>2708222484.3800001</v>
      </c>
      <c r="H54" s="24"/>
      <c r="I54" s="24"/>
      <c r="J54" s="24"/>
      <c r="K54" s="24"/>
    </row>
    <row r="55" spans="1:12" x14ac:dyDescent="0.25">
      <c r="A55" s="20" t="s">
        <v>54</v>
      </c>
      <c r="B55" s="49">
        <v>1242386966.45</v>
      </c>
      <c r="C55" s="49">
        <v>3850202800</v>
      </c>
      <c r="D55" s="49"/>
      <c r="E55" s="49">
        <v>1718858129.73</v>
      </c>
      <c r="F55" s="49">
        <v>1242386966.45</v>
      </c>
      <c r="G55" s="49">
        <v>1242386966.45</v>
      </c>
      <c r="H55" s="24"/>
      <c r="I55" s="24"/>
      <c r="J55" s="24"/>
      <c r="K55" s="24"/>
    </row>
    <row r="56" spans="1:12" x14ac:dyDescent="0.25">
      <c r="A56" s="20" t="s">
        <v>55</v>
      </c>
      <c r="B56" s="49">
        <v>1137530966.46</v>
      </c>
      <c r="C56" s="49">
        <v>4366722674.21</v>
      </c>
      <c r="D56" s="49"/>
      <c r="E56" s="49">
        <v>1453753388.0699999</v>
      </c>
      <c r="F56" s="49">
        <v>1137530966.46</v>
      </c>
      <c r="G56" s="49">
        <v>1137530966.46</v>
      </c>
      <c r="H56" s="24"/>
      <c r="I56" s="24"/>
      <c r="J56" s="24"/>
      <c r="K56" s="24"/>
    </row>
    <row r="57" spans="1:12" x14ac:dyDescent="0.25">
      <c r="A57" s="20" t="s">
        <v>56</v>
      </c>
      <c r="B57" s="49">
        <v>6372286.9299999997</v>
      </c>
      <c r="C57" s="49">
        <v>14900500</v>
      </c>
      <c r="D57" s="49"/>
      <c r="E57" s="49">
        <v>7314373.6900000004</v>
      </c>
      <c r="F57" s="49">
        <v>6372286.9299999997</v>
      </c>
      <c r="G57" s="49">
        <v>6372286.9299999997</v>
      </c>
      <c r="H57" s="24"/>
      <c r="I57" s="24"/>
      <c r="J57" s="24"/>
      <c r="K57" s="24"/>
    </row>
    <row r="58" spans="1:12" x14ac:dyDescent="0.25">
      <c r="A58" s="20" t="s">
        <v>57</v>
      </c>
      <c r="B58" s="49">
        <v>5254111462.0799999</v>
      </c>
      <c r="C58" s="49">
        <v>8214103984.1599998</v>
      </c>
      <c r="D58" s="49"/>
      <c r="E58" s="49">
        <v>7803677073.0699997</v>
      </c>
      <c r="F58" s="49">
        <v>5254111462.0799999</v>
      </c>
      <c r="G58" s="49">
        <v>5254111462.0799999</v>
      </c>
      <c r="H58" s="24"/>
      <c r="I58" s="24"/>
      <c r="J58" s="24"/>
      <c r="K58" s="24"/>
    </row>
    <row r="59" spans="1:12" x14ac:dyDescent="0.25">
      <c r="A59" s="20" t="s">
        <v>58</v>
      </c>
      <c r="B59" s="49">
        <v>635297911.88999999</v>
      </c>
      <c r="C59" s="49">
        <v>1113061992.54</v>
      </c>
      <c r="D59" s="49"/>
      <c r="E59" s="49">
        <v>1029566249.17</v>
      </c>
      <c r="F59" s="49">
        <v>635297911.88999999</v>
      </c>
      <c r="G59" s="49">
        <v>635297911.88999999</v>
      </c>
      <c r="H59" s="24"/>
      <c r="I59" s="24"/>
      <c r="J59" s="24"/>
      <c r="K59" s="24"/>
    </row>
    <row r="60" spans="1:12" x14ac:dyDescent="0.25">
      <c r="A60" s="20" t="s">
        <v>59</v>
      </c>
      <c r="B60" s="49">
        <v>1430066791.26</v>
      </c>
      <c r="C60" s="49">
        <v>3123330326.6199999</v>
      </c>
      <c r="D60" s="49"/>
      <c r="E60" s="49">
        <v>1430958481.26</v>
      </c>
      <c r="F60" s="49">
        <v>1430066791.26</v>
      </c>
      <c r="G60" s="49">
        <v>1430066791.26</v>
      </c>
      <c r="H60" s="24"/>
      <c r="I60" s="24"/>
      <c r="J60" s="24"/>
      <c r="K60" s="24"/>
    </row>
    <row r="61" spans="1:12" x14ac:dyDescent="0.25">
      <c r="A61" s="20" t="s">
        <v>60</v>
      </c>
      <c r="B61" s="49">
        <v>9083408713.3999996</v>
      </c>
      <c r="C61" s="49">
        <v>13588336400</v>
      </c>
      <c r="D61" s="49"/>
      <c r="E61" s="49">
        <v>9162319999.8600006</v>
      </c>
      <c r="F61" s="49">
        <v>9083408713.3999996</v>
      </c>
      <c r="G61" s="49">
        <v>9083408713.3999996</v>
      </c>
      <c r="H61" s="24"/>
      <c r="I61" s="24"/>
      <c r="J61" s="24"/>
      <c r="K61" s="24"/>
    </row>
    <row r="62" spans="1:12" x14ac:dyDescent="0.25">
      <c r="A62" s="20" t="s">
        <v>61</v>
      </c>
      <c r="B62" s="49">
        <v>130489433.02</v>
      </c>
      <c r="C62" s="49">
        <v>493790555</v>
      </c>
      <c r="D62" s="49"/>
      <c r="E62" s="49">
        <v>297965274.66000003</v>
      </c>
      <c r="F62" s="49">
        <v>130489433.02</v>
      </c>
      <c r="G62" s="49">
        <v>130489433.02</v>
      </c>
      <c r="H62" s="24"/>
      <c r="I62" s="24"/>
      <c r="J62" s="24"/>
      <c r="K62" s="24"/>
    </row>
    <row r="63" spans="1:12" x14ac:dyDescent="0.25">
      <c r="A63" s="20" t="s">
        <v>62</v>
      </c>
      <c r="B63" s="49">
        <v>63055510</v>
      </c>
      <c r="C63" s="49">
        <v>93488650</v>
      </c>
      <c r="D63" s="49"/>
      <c r="E63" s="49">
        <v>67899269.680000007</v>
      </c>
      <c r="F63" s="49">
        <v>63055510</v>
      </c>
      <c r="G63" s="49">
        <v>63055510</v>
      </c>
      <c r="H63" s="24"/>
      <c r="I63" s="24"/>
      <c r="J63" s="24"/>
      <c r="K63" s="24"/>
    </row>
    <row r="64" spans="1:12" x14ac:dyDescent="0.25">
      <c r="A64" s="20" t="s">
        <v>63</v>
      </c>
      <c r="B64" s="49">
        <v>671554621.57000005</v>
      </c>
      <c r="C64" s="49">
        <v>1304677200</v>
      </c>
      <c r="D64" s="49"/>
      <c r="E64" s="49">
        <v>848838237.34000003</v>
      </c>
      <c r="F64" s="49">
        <v>671554621.57000005</v>
      </c>
      <c r="G64" s="49">
        <v>671554621.57000005</v>
      </c>
      <c r="H64" s="24"/>
      <c r="I64" s="24"/>
      <c r="J64" s="24"/>
      <c r="K64" s="24"/>
    </row>
    <row r="65" spans="1:11" ht="33" customHeight="1" x14ac:dyDescent="0.25">
      <c r="A65" s="20" t="s">
        <v>64</v>
      </c>
      <c r="B65" s="49">
        <v>789110046.72000003</v>
      </c>
      <c r="C65" s="49">
        <v>1343504457</v>
      </c>
      <c r="D65" s="49"/>
      <c r="E65" s="49"/>
      <c r="F65" s="49">
        <v>789110046.72000003</v>
      </c>
      <c r="G65" s="49">
        <v>789110046.72000003</v>
      </c>
      <c r="H65" s="24"/>
      <c r="I65" s="24"/>
      <c r="J65" s="24"/>
      <c r="K65" s="24"/>
    </row>
    <row r="66" spans="1:11" s="15" customFormat="1" x14ac:dyDescent="0.25">
      <c r="A66" s="7" t="s">
        <v>65</v>
      </c>
      <c r="B66" s="40">
        <f>SUM(B51:B54,B56:B65)</f>
        <v>23276982062.599998</v>
      </c>
      <c r="C66" s="40">
        <f>SUM(C51:C54,C56:C65)</f>
        <v>43002064860.400002</v>
      </c>
      <c r="D66" s="37">
        <f t="shared" si="0"/>
        <v>54</v>
      </c>
      <c r="E66" s="12"/>
      <c r="F66" s="40">
        <f>SUM(F51:F54,F56:F65)</f>
        <v>23276982062.599998</v>
      </c>
      <c r="G66" s="28"/>
      <c r="H66" s="28"/>
      <c r="I66" s="28"/>
      <c r="J66" s="14"/>
      <c r="K66" s="14"/>
    </row>
    <row r="67" spans="1:11" s="23" customFormat="1" ht="31.5" x14ac:dyDescent="0.25">
      <c r="A67" s="7" t="s">
        <v>47</v>
      </c>
      <c r="B67" s="40">
        <f>B5+B33-B66</f>
        <v>5631980136.8999996</v>
      </c>
      <c r="C67" s="40">
        <f>C5+C33-C66</f>
        <v>-157788555.30000001</v>
      </c>
      <c r="D67" s="37"/>
      <c r="E67" s="12"/>
      <c r="F67" s="40">
        <f>F5+F33-F66</f>
        <v>5631980136.8999996</v>
      </c>
      <c r="G67" s="22"/>
      <c r="H67" s="22"/>
      <c r="I67" s="22"/>
      <c r="J67" s="22"/>
    </row>
    <row r="68" spans="1:11" s="23" customFormat="1" ht="17.25" customHeight="1" x14ac:dyDescent="0.25">
      <c r="A68" s="7" t="s">
        <v>29</v>
      </c>
      <c r="B68" s="40">
        <f>B69+B70+B71+B72+B78</f>
        <v>0</v>
      </c>
      <c r="C68" s="40">
        <f>C69+C70+C71+C72+C78</f>
        <v>0</v>
      </c>
      <c r="D68" s="37"/>
      <c r="E68" s="21"/>
      <c r="F68" s="22"/>
      <c r="G68" s="22"/>
      <c r="H68" s="22"/>
    </row>
    <row r="69" spans="1:11" ht="33.75" customHeight="1" x14ac:dyDescent="0.25">
      <c r="A69" s="16" t="s">
        <v>30</v>
      </c>
      <c r="B69" s="41"/>
      <c r="C69" s="41"/>
      <c r="D69" s="37"/>
      <c r="E69" s="19"/>
    </row>
    <row r="70" spans="1:11" ht="17.25" customHeight="1" x14ac:dyDescent="0.25">
      <c r="A70" s="16" t="s">
        <v>31</v>
      </c>
      <c r="B70" s="41"/>
      <c r="C70" s="41"/>
      <c r="D70" s="37"/>
      <c r="E70" s="19"/>
    </row>
    <row r="71" spans="1:11" ht="31.5" x14ac:dyDescent="0.25">
      <c r="A71" s="16" t="s">
        <v>32</v>
      </c>
      <c r="B71" s="41"/>
      <c r="C71" s="41"/>
      <c r="D71" s="37"/>
      <c r="E71" s="19"/>
    </row>
    <row r="72" spans="1:11" ht="31.5" x14ac:dyDescent="0.25">
      <c r="A72" s="16" t="s">
        <v>33</v>
      </c>
      <c r="B72" s="41"/>
      <c r="C72" s="41"/>
      <c r="D72" s="37"/>
      <c r="E72" s="19"/>
    </row>
    <row r="73" spans="1:11" ht="31.5" x14ac:dyDescent="0.25">
      <c r="A73" s="18" t="s">
        <v>34</v>
      </c>
      <c r="B73" s="41"/>
      <c r="C73" s="41"/>
      <c r="D73" s="37"/>
      <c r="E73" s="19"/>
    </row>
    <row r="74" spans="1:11" ht="31.5" x14ac:dyDescent="0.25">
      <c r="A74" s="18" t="s">
        <v>44</v>
      </c>
      <c r="B74" s="41"/>
      <c r="C74" s="41"/>
      <c r="D74" s="37"/>
      <c r="E74" s="19"/>
    </row>
    <row r="75" spans="1:11" hidden="1" x14ac:dyDescent="0.25">
      <c r="A75" s="18" t="s">
        <v>41</v>
      </c>
      <c r="B75" s="41"/>
      <c r="C75" s="41"/>
      <c r="D75" s="37"/>
      <c r="E75" s="19"/>
    </row>
    <row r="76" spans="1:11" ht="31.5" x14ac:dyDescent="0.25">
      <c r="A76" s="18" t="s">
        <v>46</v>
      </c>
      <c r="B76" s="41"/>
      <c r="C76" s="41"/>
      <c r="D76" s="37"/>
      <c r="E76" s="19"/>
    </row>
    <row r="77" spans="1:11" ht="31.5" x14ac:dyDescent="0.25">
      <c r="A77" s="18" t="s">
        <v>45</v>
      </c>
      <c r="B77" s="41"/>
      <c r="C77" s="41"/>
      <c r="D77" s="37"/>
      <c r="E77" s="19"/>
    </row>
    <row r="78" spans="1:11" ht="16.5" customHeight="1" x14ac:dyDescent="0.25">
      <c r="A78" s="20" t="s">
        <v>35</v>
      </c>
      <c r="B78" s="41"/>
      <c r="C78" s="41"/>
      <c r="D78" s="37"/>
      <c r="E78" s="19"/>
    </row>
    <row r="79" spans="1:11" x14ac:dyDescent="0.25">
      <c r="A79" s="29"/>
      <c r="B79" s="28">
        <f>B67+B68</f>
        <v>5631980137</v>
      </c>
      <c r="C79" s="28">
        <f>C67+C68</f>
        <v>-157788555</v>
      </c>
    </row>
    <row r="80" spans="1:11" ht="10.5" customHeight="1" x14ac:dyDescent="0.25">
      <c r="A80" s="30"/>
      <c r="B80" s="38"/>
      <c r="C80" s="35"/>
    </row>
    <row r="81" spans="1:3" x14ac:dyDescent="0.25">
      <c r="B81" s="39"/>
      <c r="C81" s="36"/>
    </row>
    <row r="82" spans="1:3" x14ac:dyDescent="0.25">
      <c r="B82" s="39"/>
      <c r="C82" s="36"/>
    </row>
    <row r="83" spans="1:3" ht="12.75" customHeight="1" x14ac:dyDescent="0.25">
      <c r="A83" s="30"/>
      <c r="B83" s="38"/>
      <c r="C83" s="35"/>
    </row>
    <row r="84" spans="1:3" ht="11.25" customHeight="1" x14ac:dyDescent="0.25">
      <c r="B84" s="32"/>
      <c r="C84" s="32"/>
    </row>
    <row r="85" spans="1:3" x14ac:dyDescent="0.25">
      <c r="B85" s="27"/>
      <c r="C85" s="27"/>
    </row>
    <row r="86" spans="1:3" x14ac:dyDescent="0.25">
      <c r="B86" s="28"/>
      <c r="C86" s="28"/>
    </row>
    <row r="89" spans="1:3" ht="11.25" customHeight="1" x14ac:dyDescent="0.25">
      <c r="A89" s="30"/>
      <c r="B89" s="38"/>
      <c r="C89" s="35"/>
    </row>
    <row r="90" spans="1:3" x14ac:dyDescent="0.25">
      <c r="A90" s="29"/>
      <c r="B90" s="28"/>
      <c r="C90" s="28"/>
    </row>
  </sheetData>
  <customSheetViews>
    <customSheetView guid="{BD55AB36-084D-4C26-BAB2-482C24A270C8}" showPageBreaks="1" printArea="1" hiddenRows="1" state="hidden" view="pageBreakPreview">
      <pane xSplit="1" ySplit="3" topLeftCell="B46" activePane="bottomRight" state="frozen"/>
      <selection pane="bottomRight" activeCell="A25" sqref="A25"/>
      <rowBreaks count="2" manualBreakCount="2">
        <brk id="32" max="16383" man="1"/>
        <brk id="67" max="16383" man="1"/>
      </rowBreaks>
      <pageMargins left="0.62992125984251968" right="0.15748031496062992" top="0.59055118110236227" bottom="0.55118110236220474" header="0.15748031496062992" footer="0.15748031496062992"/>
      <pageSetup paperSize="9" fitToHeight="0" orientation="portrait" r:id="rId1"/>
      <headerFooter alignWithMargins="0"/>
    </customSheetView>
    <customSheetView guid="{34D410AD-58B4-4435-9ED5-15CA72283006}" showPageBreaks="1" printArea="1" hiddenRows="1" state="hidden" view="pageBreakPreview">
      <pane xSplit="1" ySplit="3" topLeftCell="B46" activePane="bottomRight" state="frozen"/>
      <selection pane="bottomRight" activeCell="A25" sqref="A25"/>
      <rowBreaks count="2" manualBreakCount="2">
        <brk id="32" max="16383" man="1"/>
        <brk id="67" max="16383" man="1"/>
      </rowBreaks>
      <pageMargins left="0.62992125984251968" right="0.15748031496062992" top="0.59055118110236227" bottom="0.55118110236220474" header="0.15748031496062992" footer="0.15748031496062992"/>
      <pageSetup paperSize="9" fitToHeight="0" orientation="portrait" r:id="rId2"/>
      <headerFooter alignWithMargins="0"/>
    </customSheetView>
    <customSheetView guid="{0E91F95C-B82B-4A7A-9432-6E8B0967BE54}" showPageBreaks="1" printArea="1" hiddenRows="1" state="hidden" view="pageBreakPreview">
      <pane xSplit="1" ySplit="3" topLeftCell="B46" activePane="bottomRight" state="frozen"/>
      <selection pane="bottomRight" activeCell="A25" sqref="A25"/>
      <rowBreaks count="2" manualBreakCount="2">
        <brk id="32" max="16383" man="1"/>
        <brk id="67" max="16383" man="1"/>
      </rowBreaks>
      <pageMargins left="0.62992125984251968" right="0.15748031496062992" top="0.59055118110236227" bottom="0.55118110236220474" header="0.15748031496062992" footer="0.15748031496062992"/>
      <pageSetup paperSize="9" fitToHeight="0" orientation="portrait" r:id="rId3"/>
      <headerFooter alignWithMargins="0"/>
    </customSheetView>
  </customSheetViews>
  <mergeCells count="1">
    <mergeCell ref="A1:C1"/>
  </mergeCells>
  <pageMargins left="0.62992125984251968" right="0.15748031496062992" top="0.59055118110236227" bottom="0.55118110236220474" header="0.15748031496062992" footer="0.15748031496062992"/>
  <pageSetup paperSize="9" fitToHeight="0" orientation="portrait" r:id="rId4"/>
  <headerFooter alignWithMargins="0"/>
  <rowBreaks count="2" manualBreakCount="2">
    <brk id="32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ожид.оценка 2025</vt:lpstr>
      <vt:lpstr>по отчету отправка</vt:lpstr>
      <vt:lpstr>по отчету руб</vt:lpstr>
      <vt:lpstr>по отчету (3)</vt:lpstr>
      <vt:lpstr>план по отчету</vt:lpstr>
      <vt:lpstr>на отправку</vt:lpstr>
      <vt:lpstr>по отчету</vt:lpstr>
      <vt:lpstr>'на отправку'!Заголовки_для_печати</vt:lpstr>
      <vt:lpstr>'ожид.оценка 2025'!Заголовки_для_печати</vt:lpstr>
      <vt:lpstr>'план по отчету'!Заголовки_для_печати</vt:lpstr>
      <vt:lpstr>'по отчету'!Заголовки_для_печати</vt:lpstr>
      <vt:lpstr>'по отчету (3)'!Заголовки_для_печати</vt:lpstr>
      <vt:lpstr>'по отчету отправка'!Заголовки_для_печати</vt:lpstr>
      <vt:lpstr>'по отчету руб'!Заголовки_для_печати</vt:lpstr>
      <vt:lpstr>'на отправку'!Область_печати</vt:lpstr>
      <vt:lpstr>'ожид.оценка 2025'!Область_печати</vt:lpstr>
      <vt:lpstr>'план по отчету'!Область_печати</vt:lpstr>
      <vt:lpstr>'по отчету'!Область_печати</vt:lpstr>
      <vt:lpstr>'по отчету (3)'!Область_печати</vt:lpstr>
      <vt:lpstr>'по отчету отправка'!Область_печати</vt:lpstr>
      <vt:lpstr>'по отчету руб'!Область_печати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Ananina</dc:creator>
  <cp:lastModifiedBy>Людмила Степанова</cp:lastModifiedBy>
  <cp:lastPrinted>2025-10-29T14:09:08Z</cp:lastPrinted>
  <dcterms:created xsi:type="dcterms:W3CDTF">2009-09-25T08:43:03Z</dcterms:created>
  <dcterms:modified xsi:type="dcterms:W3CDTF">2025-10-31T06:11:52Z</dcterms:modified>
</cp:coreProperties>
</file>